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X:\Abteilung 1\Referat 14\Team 14.3\Glass\01_Daten\Abt_4\Landesrahmenvertrag_Eingliederungshilfe\Anlage 20\2026_09\"/>
    </mc:Choice>
  </mc:AlternateContent>
  <xr:revisionPtr revIDLastSave="0" documentId="13_ncr:1_{76CB5705-00A1-4486-8719-81C0936E34DF}" xr6:coauthVersionLast="47" xr6:coauthVersionMax="47" xr10:uidLastSave="{00000000-0000-0000-0000-000000000000}"/>
  <workbookProtection lockStructure="1"/>
  <bookViews>
    <workbookView xWindow="28680" yWindow="-120" windowWidth="29040" windowHeight="15720" tabRatio="830" firstSheet="1" activeTab="1" xr2:uid="{00000000-000D-0000-FFFF-FFFF00000000}"/>
  </bookViews>
  <sheets>
    <sheet name="Erläuterung" sheetId="23" r:id="rId1"/>
    <sheet name="1. Übersicht" sheetId="13" r:id="rId2"/>
    <sheet name="2. Betreuungspersonal" sheetId="19" r:id="rId3"/>
    <sheet name="2a. V1 LTG_VW" sheetId="20" r:id="rId4"/>
    <sheet name="2b. V2 SK u. IK" sheetId="21" r:id="rId5"/>
    <sheet name="3a. Vorhalt Tag" sheetId="9" r:id="rId6"/>
    <sheet name="3b. Vorhalt NachtWach" sheetId="14" r:id="rId7"/>
    <sheet name="3c. Vorhalt NachtBereit" sheetId="7" r:id="rId8"/>
    <sheet name="3d. Vorhalt Sonder Ruf-Bereit" sheetId="15" r:id="rId9"/>
    <sheet name="4. TG-TS-TF" sheetId="12" r:id="rId10"/>
    <sheet name="5. Gesamt" sheetId="1" r:id="rId11"/>
    <sheet name="5a. Kostenblatt" sheetId="22" r:id="rId12"/>
    <sheet name="Anlage 19 - Wegezeiten" sheetId="25" r:id="rId13"/>
    <sheet name="Personalübersicht" sheetId="26" r:id="rId14"/>
    <sheet name="Listen" sheetId="6" r:id="rId15"/>
    <sheet name="Versionsverlauf" sheetId="18" r:id="rId16"/>
  </sheets>
  <externalReferences>
    <externalReference r:id="rId17"/>
    <externalReference r:id="rId18"/>
  </externalReferences>
  <definedNames>
    <definedName name="Auslastung" localSheetId="2">'[1]5. Gesamt'!$D$11</definedName>
    <definedName name="Auslastung" localSheetId="3">'[1]5. Gesamt'!$D$11</definedName>
    <definedName name="Auslastung" localSheetId="4">'[1]5. Gesamt'!$D$11</definedName>
    <definedName name="Auslastung" localSheetId="11">'[1]5. Gesamt'!$D$11</definedName>
    <definedName name="Auslastung" localSheetId="0">'[1]5. Gesamt'!$D$11</definedName>
    <definedName name="Auslastung">'5. Gesamt'!$D$11</definedName>
    <definedName name="AWO_TVLEQ1a">#REF!</definedName>
    <definedName name="AWO_TVLEQ1b">#REF!</definedName>
    <definedName name="AWO_TVLEQ2">#REF!</definedName>
    <definedName name="AWO_TVLEQ3">#REF!</definedName>
    <definedName name="AWO_TVLEQ4">#REF!</definedName>
    <definedName name="AWO_TVLSQ1a">#REF!</definedName>
    <definedName name="AWO_TVLSQ1b">#REF!</definedName>
    <definedName name="AWO_TVLSQ2">#REF!</definedName>
    <definedName name="AWO_TVLSQ3">#REF!</definedName>
    <definedName name="AWO_TVLSQ4">#REF!</definedName>
    <definedName name="Basiskosten_iL" localSheetId="2">'[1]5. Gesamt'!$G$117</definedName>
    <definedName name="Basiskosten_iL" localSheetId="3">'[1]5. Gesamt'!$G$117</definedName>
    <definedName name="Basiskosten_iL" localSheetId="4">'[1]5. Gesamt'!$G$117</definedName>
    <definedName name="Basiskosten_iL" localSheetId="11">'[1]5. Gesamt'!$G$117</definedName>
    <definedName name="Basiskosten_iL" localSheetId="0">'[1]5. Gesamt'!$G$117</definedName>
    <definedName name="Basiskosten_iL">'5. Gesamt'!$G$173</definedName>
    <definedName name="bisherige_Abrechnung" localSheetId="2">'[1]5. Gesamt'!$L$5</definedName>
    <definedName name="bisherige_Abrechnung" localSheetId="3">'[1]5. Gesamt'!$L$5</definedName>
    <definedName name="bisherige_Abrechnung" localSheetId="4">'[1]5. Gesamt'!$L$5</definedName>
    <definedName name="bisherige_Abrechnung" localSheetId="11">'[1]5. Gesamt'!$L$5</definedName>
    <definedName name="bisherige_Abrechnung" localSheetId="0">'[1]5. Gesamt'!$L$5</definedName>
    <definedName name="bisherige_Abrechnung">'5. Gesamt'!$L$5</definedName>
    <definedName name="CaritasQ1a">#REF!</definedName>
    <definedName name="CaritasQ1b">#REF!</definedName>
    <definedName name="CaritasQ2">#REF!</definedName>
    <definedName name="CaritasQ3">#REF!</definedName>
    <definedName name="CaritasQ4">#REF!</definedName>
    <definedName name="Diakonie_AVR_HNQ1a">#REF!</definedName>
    <definedName name="Diakonie_AVR_HNQ1b">#REF!</definedName>
    <definedName name="Diakonie_AVR_HNQ2">#REF!</definedName>
    <definedName name="Diakonie_AVR_HNQ3">#REF!</definedName>
    <definedName name="Diakonie_AVR_HNQ4">#REF!</definedName>
    <definedName name="DiakonieAVRDD_HN_JohanniterQ1a">#REF!</definedName>
    <definedName name="DiakonieAVRDD_HN_JohanniterQ1b">#REF!</definedName>
    <definedName name="DiakonieAVRDD_HN_JohanniterQ2">#REF!</definedName>
    <definedName name="DiakonieAVRDD_HN_JohanniterQ3">#REF!</definedName>
    <definedName name="DiakonieAVRDD_HN_JohanniterQ4">#REF!</definedName>
    <definedName name="DRKQ1a">#REF!</definedName>
    <definedName name="DRKQ1b">#REF!</definedName>
    <definedName name="DRKQ2">#REF!</definedName>
    <definedName name="DRKQ3">#REF!</definedName>
    <definedName name="DRKQ4">#REF!</definedName>
    <definedName name="_xlnm.Print_Area" localSheetId="2">'2. Betreuungspersonal'!$A$3:$O$256</definedName>
    <definedName name="_xlnm.Print_Area" localSheetId="3">'2a. V1 LTG_VW'!$A$2:$L$50</definedName>
    <definedName name="_xlnm.Print_Area" localSheetId="4">'2b. V2 SK u. IK'!$A$1:$L$105</definedName>
    <definedName name="_xlnm.Print_Area" localSheetId="10">'5. Gesamt'!$B$5:$L$177</definedName>
    <definedName name="_xlnm.Print_Area" localSheetId="11">'5a. Kostenblatt'!$A$1:$F$40</definedName>
    <definedName name="Fachleistungsstundensatz">Listen!$I$3</definedName>
    <definedName name="FLS_kA" localSheetId="2">'[1]5. Gesamt'!$L$45</definedName>
    <definedName name="FLS_kA" localSheetId="3">'[1]5. Gesamt'!$L$45</definedName>
    <definedName name="FLS_kA" localSheetId="4">'[1]5. Gesamt'!$L$45</definedName>
    <definedName name="FLS_kA" localSheetId="11">'[1]5. Gesamt'!$L$45</definedName>
    <definedName name="FLS_kA" localSheetId="0">'[1]5. Gesamt'!$L$45</definedName>
    <definedName name="FLS_kA">'5. Gesamt'!$L$59</definedName>
    <definedName name="FLS_qA" localSheetId="2">'[1]5. Gesamt'!$L$44</definedName>
    <definedName name="FLS_qA" localSheetId="3">'[1]5. Gesamt'!$L$44</definedName>
    <definedName name="FLS_qA" localSheetId="4">'[1]5. Gesamt'!$L$44</definedName>
    <definedName name="FLS_qA" localSheetId="11">'[1]5. Gesamt'!$L$44</definedName>
    <definedName name="FLS_qA" localSheetId="0">'[1]5. Gesamt'!$L$44</definedName>
    <definedName name="FLS_qA">'5. Gesamt'!$L$58</definedName>
    <definedName name="Funktion1">[2]Tariftabellen!$X$3:$X$6</definedName>
    <definedName name="h_netto_1VKpa" localSheetId="2">'[1]5. Gesamt'!$D$7</definedName>
    <definedName name="h_netto_1VKpa" localSheetId="3">'[1]5. Gesamt'!$D$7</definedName>
    <definedName name="h_netto_1VKpa" localSheetId="4">'[1]5. Gesamt'!$D$7</definedName>
    <definedName name="h_netto_1VKpa" localSheetId="11">'[1]5. Gesamt'!$D$7</definedName>
    <definedName name="h_netto_1VKpa" localSheetId="0">'[1]5. Gesamt'!$D$7</definedName>
    <definedName name="h_netto_1VKpa">'5. Gesamt'!$D$7</definedName>
    <definedName name="h_pa_kA" localSheetId="2">'[1]5. Gesamt'!$I$44</definedName>
    <definedName name="h_pa_kA" localSheetId="3">'[1]5. Gesamt'!$I$44</definedName>
    <definedName name="h_pa_kA" localSheetId="4">'[1]5. Gesamt'!$I$44</definedName>
    <definedName name="h_pa_kA" localSheetId="11">'[1]5. Gesamt'!$I$44</definedName>
    <definedName name="h_pa_kA" localSheetId="0">'[1]5. Gesamt'!$I$44</definedName>
    <definedName name="h_pa_kA">'5. Gesamt'!$I$58</definedName>
    <definedName name="h_pa_qA" localSheetId="2">'[1]5. Gesamt'!$H$44</definedName>
    <definedName name="h_pa_qA" localSheetId="3">'[1]5. Gesamt'!$H$44</definedName>
    <definedName name="h_pa_qA" localSheetId="4">'[1]5. Gesamt'!$H$44</definedName>
    <definedName name="h_pa_qA" localSheetId="11">'[1]5. Gesamt'!$H$44</definedName>
    <definedName name="h_pa_qA" localSheetId="0">'[1]5. Gesamt'!$H$44</definedName>
    <definedName name="h_pa_qA">'5. Gesamt'!$H$58</definedName>
    <definedName name="Klienten" localSheetId="2">'[1]5. Gesamt'!$D$8</definedName>
    <definedName name="Klienten" localSheetId="3">'[1]5. Gesamt'!$D$8</definedName>
    <definedName name="Klienten" localSheetId="4">'[1]5. Gesamt'!$D$8</definedName>
    <definedName name="Klienten" localSheetId="11">'[1]5. Gesamt'!$D$8</definedName>
    <definedName name="Klienten" localSheetId="0">'[1]5. Gesamt'!$D$8</definedName>
    <definedName name="Klienten">'5. Gesamt'!$D$8</definedName>
    <definedName name="Kosten_LV_iL">'5. Gesamt'!$G$172</definedName>
    <definedName name="Kosten_SKIK_iL">'5. Gesamt'!$H$172</definedName>
    <definedName name="LKH_AWO_TVLSEmixQ1a">#REF!</definedName>
    <definedName name="LKH_AWO_TVLSEmixQ1b">#REF!</definedName>
    <definedName name="LKH_AWO_TVLSEmixQ2">#REF!</definedName>
    <definedName name="LKH_AWO_TVLSEmixQ3">#REF!</definedName>
    <definedName name="LKH_AWO_TVLSEmixQ4">#REF!</definedName>
    <definedName name="Modul" localSheetId="2">'[1]5. Gesamt'!$G$5</definedName>
    <definedName name="Modul" localSheetId="3">'[1]5. Gesamt'!$G$5</definedName>
    <definedName name="Modul" localSheetId="4">'[1]5. Gesamt'!$G$5</definedName>
    <definedName name="Modul" localSheetId="11">'[1]5. Gesamt'!$G$5</definedName>
    <definedName name="Modul" localSheetId="0">'[1]5. Gesamt'!$G$5</definedName>
    <definedName name="Modul">'5. Gesamt'!$G$5</definedName>
    <definedName name="Modul_SB">Listen!$G$5</definedName>
    <definedName name="Modul_SR">Listen!$G$4</definedName>
    <definedName name="Modul_TS" localSheetId="2">[1]Listen!$G$2</definedName>
    <definedName name="Modul_TS" localSheetId="3">[1]Listen!$G$2</definedName>
    <definedName name="Modul_TS" localSheetId="4">[1]Listen!$G$2</definedName>
    <definedName name="Modul_TS" localSheetId="11">[1]Listen!$G$2</definedName>
    <definedName name="Modul_TS" localSheetId="0">[1]Listen!$G$2</definedName>
    <definedName name="Modul_TS">Listen!$G$2</definedName>
    <definedName name="Modul_Wohnen">Listen!$G$3</definedName>
    <definedName name="nicht_tarifgebundene_AnbieterQ1a">#REF!</definedName>
    <definedName name="nicht_tarifgebundene_AnbieterQ1b">#REF!</definedName>
    <definedName name="nicht_tarifgebundene_AnbieterQ2">#REF!</definedName>
    <definedName name="nicht_tarifgebundene_AnbieterQ3">#REF!</definedName>
    <definedName name="nicht_tarifgebundene_AnbieterQ4">#REF!</definedName>
    <definedName name="PK_kA" localSheetId="2">'[1]5. Gesamt'!$L$116</definedName>
    <definedName name="PK_kA" localSheetId="3">'[1]5. Gesamt'!$L$116</definedName>
    <definedName name="PK_kA" localSheetId="4">'[1]5. Gesamt'!$L$116</definedName>
    <definedName name="PK_kA" localSheetId="11">'[1]5. Gesamt'!$L$116</definedName>
    <definedName name="PK_kA" localSheetId="0">'[1]5. Gesamt'!$L$116</definedName>
    <definedName name="PK_kA">'5. Gesamt'!$L$172</definedName>
    <definedName name="PK_qA" localSheetId="2">'[1]5. Gesamt'!$K$116</definedName>
    <definedName name="PK_qA" localSheetId="3">'[1]5. Gesamt'!$K$116</definedName>
    <definedName name="PK_qA" localSheetId="4">'[1]5. Gesamt'!$K$116</definedName>
    <definedName name="PK_qA" localSheetId="11">'[1]5. Gesamt'!$K$116</definedName>
    <definedName name="PK_qA" localSheetId="0">'[1]5. Gesamt'!$K$116</definedName>
    <definedName name="PK_qA">'5. Gesamt'!$K$172</definedName>
    <definedName name="Qualifikation_FL">[2]Tariftabellen!$T$3:$T$24</definedName>
    <definedName name="Sozialraum">Listen!$G$4</definedName>
    <definedName name="spez_Bedarfslagen">Listen!$G$5</definedName>
    <definedName name="Tage_nach_Auslastung" localSheetId="2">'[1]5. Gesamt'!$D$12</definedName>
    <definedName name="Tage_nach_Auslastung" localSheetId="3">'[1]5. Gesamt'!$D$12</definedName>
    <definedName name="Tage_nach_Auslastung" localSheetId="4">'[1]5. Gesamt'!$D$12</definedName>
    <definedName name="Tage_nach_Auslastung" localSheetId="11">'[1]5. Gesamt'!$D$12</definedName>
    <definedName name="Tage_nach_Auslastung" localSheetId="0">'[1]5. Gesamt'!$D$12</definedName>
    <definedName name="Tage_nach_Auslastung">'5. Gesamt'!$D$12</definedName>
    <definedName name="Tage_p.a." localSheetId="2">'[1]4. TG-TS-TF'!$B$4</definedName>
    <definedName name="Tage_p.a." localSheetId="3">'[1]4. TG-TS-TF'!$B$4</definedName>
    <definedName name="Tage_p.a." localSheetId="4">'[1]4. TG-TS-TF'!$B$4</definedName>
    <definedName name="Tage_p.a." localSheetId="11">'[1]4. TG-TS-TF'!$B$4</definedName>
    <definedName name="Tage_p.a." localSheetId="0">'[1]4. TG-TS-TF'!$B$4</definedName>
    <definedName name="Tage_p.a.">'4. TG-TS-TF'!$B$4</definedName>
    <definedName name="Tage_pa" localSheetId="2">'[1]3c. Vorhalt NachtBereit'!$B$6</definedName>
    <definedName name="Tage_pa" localSheetId="3">'[1]3c. Vorhalt NachtBereit'!$B$6</definedName>
    <definedName name="Tage_pa" localSheetId="4">'[1]3c. Vorhalt NachtBereit'!$B$6</definedName>
    <definedName name="Tage_pa" localSheetId="8">'3d. Vorhalt Sonder Ruf-Bereit'!$B$6</definedName>
    <definedName name="Tage_pa" localSheetId="11">'[1]3c. Vorhalt NachtBereit'!$B$6</definedName>
    <definedName name="Tage_pa" localSheetId="0">'[1]3c. Vorhalt NachtBereit'!$B$6</definedName>
    <definedName name="Tage_pa">'3c. Vorhalt NachtBereit'!$B$6</definedName>
    <definedName name="Tagessatz" localSheetId="2">[1]Listen!$I$1</definedName>
    <definedName name="Tagessatz" localSheetId="3">[1]Listen!$I$1</definedName>
    <definedName name="Tagessatz" localSheetId="4">[1]Listen!$I$1</definedName>
    <definedName name="Tagessatz" localSheetId="11">[1]Listen!$I$1</definedName>
    <definedName name="Tagessatz" localSheetId="0">[1]Listen!$I$1</definedName>
    <definedName name="Tagessatz">Listen!$I$2</definedName>
    <definedName name="Tarif">[2]Tariftabellen!$Z$4:$Z$21</definedName>
    <definedName name="TS" localSheetId="2">[1]Listen!$G$2</definedName>
    <definedName name="TS" localSheetId="3">[1]Listen!$G$2</definedName>
    <definedName name="TS" localSheetId="4">[1]Listen!$G$2</definedName>
    <definedName name="TS" localSheetId="11">[1]Listen!$G$2</definedName>
    <definedName name="TS" localSheetId="0">[1]Listen!$G$2</definedName>
    <definedName name="TS">Listen!$G$2</definedName>
    <definedName name="TVöD_BAT_KFQ13">#REF!</definedName>
    <definedName name="TVöD_BAT_KFQ1a">#REF!</definedName>
    <definedName name="TVöD_BAT_KFQ1b">#REF!</definedName>
    <definedName name="TVöD_BAT_KFQ2">#REF!</definedName>
    <definedName name="TVöD_BAT_KFQ3">#REF!</definedName>
    <definedName name="TVöD_BAT_KFQ4">#REF!</definedName>
    <definedName name="Wochenstunden" localSheetId="2">'[1]4. TG-TS-TF'!$I$11</definedName>
    <definedName name="Wochenstunden" localSheetId="3">'[1]4. TG-TS-TF'!$I$11</definedName>
    <definedName name="Wochenstunden" localSheetId="4">'[1]4. TG-TS-TF'!$I$11</definedName>
    <definedName name="Wochenstunden" localSheetId="11">'[1]4. TG-TS-TF'!$I$11</definedName>
    <definedName name="Wochenstunden" localSheetId="0">'[1]4. TG-TS-TF'!$I$11</definedName>
    <definedName name="Wochenstunden">'4. TG-TS-TF'!$I$11</definedName>
    <definedName name="Wohnen">Listen!$G$3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5" i="1" l="1"/>
  <c r="B12" i="12"/>
  <c r="E17" i="19"/>
  <c r="E18" i="19"/>
  <c r="E19" i="19"/>
  <c r="E20" i="19"/>
  <c r="E16" i="19"/>
  <c r="E29" i="19" l="1"/>
  <c r="E30" i="19"/>
  <c r="E31" i="19"/>
  <c r="E32" i="19"/>
  <c r="E33" i="19"/>
  <c r="E34" i="19"/>
  <c r="E35" i="19"/>
  <c r="E36" i="19"/>
  <c r="E37" i="19"/>
  <c r="E38" i="19"/>
  <c r="E39" i="19"/>
  <c r="E40" i="19"/>
  <c r="E41" i="19"/>
  <c r="E42" i="19"/>
  <c r="E43" i="19"/>
  <c r="E44" i="19"/>
  <c r="E45" i="19"/>
  <c r="E46" i="19"/>
  <c r="E47" i="19"/>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E108" i="19"/>
  <c r="E109" i="19"/>
  <c r="E110" i="19"/>
  <c r="E111" i="19"/>
  <c r="E112" i="19"/>
  <c r="E113" i="19"/>
  <c r="E114" i="19"/>
  <c r="E115" i="19"/>
  <c r="E116" i="19"/>
  <c r="E117" i="19"/>
  <c r="E118" i="19"/>
  <c r="E119" i="19"/>
  <c r="E120" i="19"/>
  <c r="E121" i="19"/>
  <c r="E122" i="19"/>
  <c r="E123" i="19"/>
  <c r="E124" i="19"/>
  <c r="E125" i="19"/>
  <c r="E126" i="19"/>
  <c r="E127" i="19"/>
  <c r="E128" i="19"/>
  <c r="E129" i="19"/>
  <c r="E130" i="19"/>
  <c r="E131" i="19"/>
  <c r="E132" i="19"/>
  <c r="E133" i="19"/>
  <c r="E134" i="19"/>
  <c r="E135" i="19"/>
  <c r="E136" i="19"/>
  <c r="E137" i="19"/>
  <c r="E138" i="19"/>
  <c r="E139" i="19"/>
  <c r="E140" i="19"/>
  <c r="E141" i="19"/>
  <c r="E142" i="19"/>
  <c r="E44" i="21"/>
  <c r="C44" i="21"/>
  <c r="B44" i="21"/>
  <c r="C40" i="21"/>
  <c r="B40" i="21"/>
  <c r="E40" i="21"/>
  <c r="E38" i="21"/>
  <c r="B25" i="21"/>
  <c r="B29" i="26" l="1"/>
  <c r="B30" i="26"/>
  <c r="B31" i="26"/>
  <c r="B32" i="26"/>
  <c r="B28" i="26"/>
  <c r="A27" i="26"/>
  <c r="H21" i="26"/>
  <c r="H22" i="26"/>
  <c r="H23" i="26"/>
  <c r="H24" i="26"/>
  <c r="H20" i="26"/>
  <c r="E21" i="26"/>
  <c r="E22" i="26"/>
  <c r="E23" i="26"/>
  <c r="E24" i="26"/>
  <c r="E20" i="26"/>
  <c r="B21" i="26"/>
  <c r="B22" i="26"/>
  <c r="B23" i="26"/>
  <c r="B24" i="26"/>
  <c r="B20" i="26"/>
  <c r="H13" i="26"/>
  <c r="H14" i="26"/>
  <c r="H15" i="26"/>
  <c r="H16" i="26"/>
  <c r="H12" i="26"/>
  <c r="E13" i="26"/>
  <c r="E14" i="26"/>
  <c r="E15" i="26"/>
  <c r="E16" i="26"/>
  <c r="E12" i="26"/>
  <c r="B13" i="26"/>
  <c r="B14" i="26"/>
  <c r="B15" i="26"/>
  <c r="B16" i="26"/>
  <c r="B12" i="26"/>
  <c r="G19" i="26"/>
  <c r="D19" i="26"/>
  <c r="A19" i="26"/>
  <c r="G11" i="26"/>
  <c r="D11" i="26"/>
  <c r="B14" i="13"/>
  <c r="A11" i="26"/>
  <c r="I16" i="13" l="1"/>
  <c r="I17" i="13"/>
  <c r="I18" i="13"/>
  <c r="B18" i="13"/>
  <c r="B17" i="13"/>
  <c r="B16" i="13"/>
  <c r="D153" i="1"/>
  <c r="D154" i="1"/>
  <c r="D155" i="1"/>
  <c r="D156" i="1"/>
  <c r="D152" i="1"/>
  <c r="D139" i="1"/>
  <c r="D140" i="1"/>
  <c r="D141" i="1"/>
  <c r="D142" i="1"/>
  <c r="D138" i="1"/>
  <c r="B145" i="1"/>
  <c r="B131" i="1"/>
  <c r="D125" i="1"/>
  <c r="D126" i="1"/>
  <c r="D127" i="1"/>
  <c r="D128" i="1"/>
  <c r="D124" i="1"/>
  <c r="B117" i="1"/>
  <c r="D143" i="1" l="1"/>
  <c r="D129" i="1"/>
  <c r="F120" i="21" l="1"/>
  <c r="C26" i="21" s="1"/>
  <c r="E120" i="21"/>
  <c r="C120" i="21"/>
  <c r="B26" i="21" s="1"/>
  <c r="B120" i="21"/>
  <c r="G119" i="21"/>
  <c r="D119" i="21"/>
  <c r="G118" i="21"/>
  <c r="D118" i="21"/>
  <c r="G117" i="21"/>
  <c r="D117" i="21"/>
  <c r="G116" i="21"/>
  <c r="D116" i="21"/>
  <c r="G115" i="21"/>
  <c r="D115" i="21"/>
  <c r="G114" i="21"/>
  <c r="D114" i="21"/>
  <c r="G113" i="21"/>
  <c r="D113" i="21"/>
  <c r="D112" i="21"/>
  <c r="G111" i="21"/>
  <c r="D111" i="21"/>
  <c r="G110" i="21"/>
  <c r="D110" i="21"/>
  <c r="G109" i="21"/>
  <c r="D109" i="21"/>
  <c r="E26" i="21" l="1"/>
  <c r="E25" i="21" s="1"/>
  <c r="C25" i="21"/>
  <c r="L40" i="1"/>
  <c r="K40" i="1"/>
  <c r="H40" i="1"/>
  <c r="G40" i="1"/>
  <c r="D40" i="1"/>
  <c r="C40" i="1"/>
  <c r="H51" i="1"/>
  <c r="I51" i="1"/>
  <c r="H52" i="1"/>
  <c r="I52" i="1"/>
  <c r="H53" i="1"/>
  <c r="I53" i="1"/>
  <c r="H54" i="1"/>
  <c r="I54" i="1"/>
  <c r="H19" i="25"/>
  <c r="H20" i="25"/>
  <c r="H21" i="25"/>
  <c r="H22" i="25"/>
  <c r="H18" i="25"/>
  <c r="F40" i="25"/>
  <c r="G40" i="25" s="1"/>
  <c r="F41" i="25"/>
  <c r="G41" i="25" s="1"/>
  <c r="F42" i="25"/>
  <c r="G42" i="25" s="1"/>
  <c r="F43" i="25"/>
  <c r="G43" i="25" s="1"/>
  <c r="F44" i="25"/>
  <c r="G44" i="25" s="1"/>
  <c r="E18" i="13" l="1"/>
  <c r="H25" i="26"/>
  <c r="E17" i="13"/>
  <c r="E25" i="26"/>
  <c r="E16" i="13"/>
  <c r="B25" i="26"/>
  <c r="H23" i="25"/>
  <c r="I18" i="25" s="1"/>
  <c r="F45" i="25"/>
  <c r="E34" i="25" s="1"/>
  <c r="E4" i="21"/>
  <c r="E21" i="19"/>
  <c r="E22" i="19"/>
  <c r="E23" i="19"/>
  <c r="E24" i="19"/>
  <c r="E25" i="19"/>
  <c r="E26" i="19"/>
  <c r="E27" i="19"/>
  <c r="E28" i="19"/>
  <c r="E143" i="19"/>
  <c r="E144" i="19"/>
  <c r="H5" i="19"/>
  <c r="H4" i="19"/>
  <c r="H10" i="19"/>
  <c r="K255" i="19"/>
  <c r="J255" i="19"/>
  <c r="G255" i="19"/>
  <c r="E37" i="21"/>
  <c r="E63" i="21"/>
  <c r="I19" i="25" l="1"/>
  <c r="I20" i="25"/>
  <c r="I21" i="25"/>
  <c r="I22" i="25"/>
  <c r="C11" i="21"/>
  <c r="I23" i="25" l="1"/>
  <c r="K11" i="9"/>
  <c r="K63" i="9"/>
  <c r="K50" i="9"/>
  <c r="K37" i="9"/>
  <c r="K24" i="9"/>
  <c r="H65" i="9" l="1"/>
  <c r="G65" i="9"/>
  <c r="F65" i="9"/>
  <c r="E65" i="9"/>
  <c r="D65" i="9"/>
  <c r="C65" i="9"/>
  <c r="B65" i="9"/>
  <c r="I65" i="9" s="1"/>
  <c r="I66" i="9" s="1"/>
  <c r="B60" i="9"/>
  <c r="H26" i="9"/>
  <c r="G26" i="9"/>
  <c r="F26" i="9"/>
  <c r="E26" i="9"/>
  <c r="D26" i="9"/>
  <c r="C26" i="9"/>
  <c r="B26" i="9"/>
  <c r="B21" i="9"/>
  <c r="H13" i="9"/>
  <c r="G13" i="9"/>
  <c r="F13" i="9"/>
  <c r="E13" i="9"/>
  <c r="D13" i="9"/>
  <c r="C13" i="9"/>
  <c r="B13" i="9"/>
  <c r="B8" i="9"/>
  <c r="B128" i="21"/>
  <c r="I37" i="13"/>
  <c r="B23" i="13"/>
  <c r="B15" i="13"/>
  <c r="B13" i="13"/>
  <c r="G10" i="13"/>
  <c r="G9" i="13"/>
  <c r="C10" i="13"/>
  <c r="C9" i="13"/>
  <c r="I26" i="9" l="1"/>
  <c r="I27" i="9" s="1"/>
  <c r="I13" i="9"/>
  <c r="I14" i="9" s="1"/>
  <c r="E145" i="19"/>
  <c r="E146" i="19"/>
  <c r="E147" i="19"/>
  <c r="E148" i="19"/>
  <c r="E149"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81" i="19"/>
  <c r="E182" i="19"/>
  <c r="E183" i="19"/>
  <c r="E184" i="19"/>
  <c r="E185" i="19"/>
  <c r="E186" i="19"/>
  <c r="E187" i="19"/>
  <c r="E188" i="19"/>
  <c r="E189" i="19"/>
  <c r="E190" i="19"/>
  <c r="E191" i="19"/>
  <c r="E192" i="19"/>
  <c r="E193" i="19"/>
  <c r="E194" i="19"/>
  <c r="E195" i="19"/>
  <c r="E196" i="19"/>
  <c r="E197" i="19"/>
  <c r="E198" i="19"/>
  <c r="E199" i="19"/>
  <c r="E200" i="19"/>
  <c r="E201" i="19"/>
  <c r="E202" i="19"/>
  <c r="E203" i="19"/>
  <c r="E204" i="19"/>
  <c r="E205" i="19"/>
  <c r="E206" i="19"/>
  <c r="E207" i="19"/>
  <c r="E208" i="19"/>
  <c r="E209" i="19"/>
  <c r="E210" i="19"/>
  <c r="E211" i="19"/>
  <c r="E212" i="19"/>
  <c r="E213" i="19"/>
  <c r="E214" i="19"/>
  <c r="E215" i="19"/>
  <c r="E216" i="19"/>
  <c r="E217" i="19"/>
  <c r="E218" i="19"/>
  <c r="E219" i="19"/>
  <c r="E220" i="19"/>
  <c r="E221" i="19"/>
  <c r="E222" i="19"/>
  <c r="E223" i="19"/>
  <c r="E224" i="19"/>
  <c r="E225" i="19"/>
  <c r="E226" i="19"/>
  <c r="E227" i="19"/>
  <c r="E228" i="19"/>
  <c r="E229" i="19"/>
  <c r="E230" i="19"/>
  <c r="E231" i="19"/>
  <c r="E232" i="19"/>
  <c r="E233" i="19"/>
  <c r="E234" i="19"/>
  <c r="E235" i="19"/>
  <c r="E236" i="19"/>
  <c r="E237" i="19"/>
  <c r="E238" i="19"/>
  <c r="E239" i="19"/>
  <c r="E240" i="19"/>
  <c r="E241" i="19"/>
  <c r="E242" i="19"/>
  <c r="E243" i="19"/>
  <c r="E244" i="19"/>
  <c r="E245" i="19"/>
  <c r="E246" i="19"/>
  <c r="E247" i="19"/>
  <c r="E248" i="19"/>
  <c r="E249" i="19"/>
  <c r="E250" i="19"/>
  <c r="E251" i="19"/>
  <c r="E252" i="19"/>
  <c r="E253" i="19"/>
  <c r="B10" i="19" l="1"/>
  <c r="B9" i="19" s="1"/>
  <c r="F5" i="19"/>
  <c r="F4" i="19" s="1"/>
  <c r="F10" i="19"/>
  <c r="F9" i="19" s="1"/>
  <c r="C5" i="19"/>
  <c r="C4" i="19" s="1"/>
  <c r="D10" i="19"/>
  <c r="D9" i="19" s="1"/>
  <c r="C10" i="19"/>
  <c r="C9" i="19" s="1"/>
  <c r="E5" i="19"/>
  <c r="E4" i="19" s="1"/>
  <c r="E10" i="19"/>
  <c r="E9" i="19" s="1"/>
  <c r="B5" i="19"/>
  <c r="B4" i="19" s="1"/>
  <c r="D5" i="19"/>
  <c r="D4" i="19" s="1"/>
  <c r="E61" i="21"/>
  <c r="E60" i="21"/>
  <c r="E59" i="21"/>
  <c r="E58" i="21"/>
  <c r="E57" i="21"/>
  <c r="E56" i="21"/>
  <c r="E51" i="21"/>
  <c r="E50" i="21"/>
  <c r="E49" i="21"/>
  <c r="E48" i="21"/>
  <c r="E47" i="21"/>
  <c r="E46" i="21"/>
  <c r="E45" i="21"/>
  <c r="E42" i="21"/>
  <c r="E41" i="21"/>
  <c r="E9" i="21"/>
  <c r="E8" i="21"/>
  <c r="E7" i="21"/>
  <c r="E17" i="21"/>
  <c r="E16" i="21"/>
  <c r="E15" i="21"/>
  <c r="E14" i="21"/>
  <c r="E13" i="21"/>
  <c r="E12" i="21"/>
  <c r="E23" i="21"/>
  <c r="E22" i="21"/>
  <c r="E28" i="21"/>
  <c r="E29" i="21"/>
  <c r="E30" i="21"/>
  <c r="E31" i="21"/>
  <c r="E32" i="21"/>
  <c r="E33" i="21"/>
  <c r="E34" i="21"/>
  <c r="E35" i="21"/>
  <c r="E36" i="21"/>
  <c r="E27" i="21"/>
  <c r="C10" i="20"/>
  <c r="C9" i="20" s="1"/>
  <c r="C5" i="20"/>
  <c r="G4" i="19" l="1"/>
  <c r="C20" i="22"/>
  <c r="B9" i="26" s="1"/>
  <c r="G10" i="19"/>
  <c r="E55" i="21"/>
  <c r="E6" i="21"/>
  <c r="E11" i="21"/>
  <c r="E21" i="21"/>
  <c r="D20" i="22"/>
  <c r="C19" i="22"/>
  <c r="B8" i="26" s="1"/>
  <c r="D18" i="22"/>
  <c r="C4" i="20"/>
  <c r="C18" i="22" l="1"/>
  <c r="B7" i="26" s="1"/>
  <c r="D19" i="22"/>
  <c r="C17" i="22"/>
  <c r="B6" i="26" s="1"/>
  <c r="D17" i="22"/>
  <c r="D16" i="22"/>
  <c r="C16" i="22"/>
  <c r="B5" i="26" s="1"/>
  <c r="H9" i="19"/>
  <c r="B6" i="22"/>
  <c r="B4" i="22"/>
  <c r="B5" i="22"/>
  <c r="B7" i="22"/>
  <c r="B8" i="22"/>
  <c r="B9" i="22"/>
  <c r="B3" i="22"/>
  <c r="L105" i="21"/>
  <c r="D34" i="22" s="1"/>
  <c r="F34" i="22" s="1"/>
  <c r="I105" i="21"/>
  <c r="C34" i="22" s="1"/>
  <c r="H105" i="21"/>
  <c r="E105" i="21"/>
  <c r="G5" i="19" l="1"/>
  <c r="I49" i="20"/>
  <c r="H49" i="20"/>
  <c r="H51" i="20" s="1"/>
  <c r="E49" i="20"/>
  <c r="B5" i="20" s="1"/>
  <c r="C6" i="21"/>
  <c r="C21" i="21"/>
  <c r="C55" i="21"/>
  <c r="C63" i="21"/>
  <c r="B63" i="21"/>
  <c r="B55" i="21"/>
  <c r="B21" i="21"/>
  <c r="B11" i="21"/>
  <c r="B6" i="21"/>
  <c r="H6" i="19" l="1"/>
  <c r="B4" i="20"/>
  <c r="D4" i="20" s="1"/>
  <c r="C22" i="22"/>
  <c r="B4" i="26" s="1"/>
  <c r="B10" i="20"/>
  <c r="C24" i="22"/>
  <c r="E4" i="20"/>
  <c r="G9" i="19"/>
  <c r="H11" i="19" s="1"/>
  <c r="E53" i="21"/>
  <c r="E89" i="21"/>
  <c r="H89" i="21"/>
  <c r="B19" i="21" s="1"/>
  <c r="I89" i="21"/>
  <c r="L89" i="21"/>
  <c r="C19" i="21" s="1"/>
  <c r="E19" i="21" s="1"/>
  <c r="L49" i="20"/>
  <c r="L51" i="20" s="1"/>
  <c r="D25" i="22" s="1"/>
  <c r="F17" i="22"/>
  <c r="F18" i="22"/>
  <c r="F19" i="22"/>
  <c r="F20" i="22"/>
  <c r="N255" i="19"/>
  <c r="I50" i="20" l="1"/>
  <c r="I51" i="20" s="1"/>
  <c r="E9" i="20"/>
  <c r="B9" i="20"/>
  <c r="D9" i="20" s="1"/>
  <c r="F25" i="22"/>
  <c r="F27" i="22" s="1"/>
  <c r="D22" i="22"/>
  <c r="F16" i="22"/>
  <c r="D27" i="22" l="1"/>
  <c r="D24" i="22"/>
  <c r="F22" i="22"/>
  <c r="F29" i="22" s="1"/>
  <c r="G25" i="22" l="1"/>
  <c r="I14" i="12"/>
  <c r="D29" i="22" l="1"/>
  <c r="G78" i="1"/>
  <c r="G92" i="1" s="1"/>
  <c r="G106" i="1" s="1"/>
  <c r="G10" i="1"/>
  <c r="E56" i="1"/>
  <c r="E11" i="12"/>
  <c r="G163" i="1" l="1"/>
  <c r="G120" i="1"/>
  <c r="G134" i="1" s="1"/>
  <c r="G148" i="1" s="1"/>
  <c r="H28" i="15"/>
  <c r="G28" i="15"/>
  <c r="F28" i="15"/>
  <c r="E28" i="15"/>
  <c r="D28" i="15"/>
  <c r="C28" i="15"/>
  <c r="B28" i="15"/>
  <c r="K26" i="15"/>
  <c r="B22" i="15"/>
  <c r="H14" i="15"/>
  <c r="G14" i="15"/>
  <c r="F14" i="15"/>
  <c r="E14" i="15"/>
  <c r="D14" i="15"/>
  <c r="C14" i="15"/>
  <c r="B14" i="15"/>
  <c r="K12" i="15"/>
  <c r="B8" i="15"/>
  <c r="I28" i="15" l="1"/>
  <c r="I29" i="15" s="1"/>
  <c r="I14" i="15"/>
  <c r="I15" i="15" s="1"/>
  <c r="I34" i="15" l="1"/>
  <c r="B11" i="12"/>
  <c r="K26" i="7"/>
  <c r="K24" i="14"/>
  <c r="K12" i="7"/>
  <c r="K11" i="14"/>
  <c r="B103" i="1"/>
  <c r="B89" i="1"/>
  <c r="N78" i="1"/>
  <c r="D111" i="1"/>
  <c r="D112" i="1"/>
  <c r="D113" i="1"/>
  <c r="D114" i="1"/>
  <c r="D110" i="1"/>
  <c r="F57" i="1"/>
  <c r="C5" i="1"/>
  <c r="J14" i="12"/>
  <c r="B22" i="7"/>
  <c r="B8" i="7"/>
  <c r="B21" i="14"/>
  <c r="B8" i="14"/>
  <c r="B34" i="9"/>
  <c r="B47" i="9"/>
  <c r="H28" i="7"/>
  <c r="G28" i="7"/>
  <c r="F28" i="7"/>
  <c r="E28" i="7"/>
  <c r="D28" i="7"/>
  <c r="C28" i="7"/>
  <c r="B28" i="7"/>
  <c r="H14" i="7"/>
  <c r="G14" i="7"/>
  <c r="F14" i="7"/>
  <c r="E14" i="7"/>
  <c r="D14" i="7"/>
  <c r="C14" i="7"/>
  <c r="B14" i="7"/>
  <c r="H26" i="14"/>
  <c r="G26" i="14"/>
  <c r="F26" i="14"/>
  <c r="E26" i="14"/>
  <c r="D26" i="14"/>
  <c r="C26" i="14"/>
  <c r="B26" i="14"/>
  <c r="C13" i="14"/>
  <c r="D13" i="14"/>
  <c r="E13" i="14"/>
  <c r="F13" i="14"/>
  <c r="G13" i="14"/>
  <c r="H13" i="14"/>
  <c r="B13" i="14"/>
  <c r="H52" i="9"/>
  <c r="G52" i="9"/>
  <c r="F52" i="9"/>
  <c r="E52" i="9"/>
  <c r="D52" i="9"/>
  <c r="C52" i="9"/>
  <c r="B52" i="9"/>
  <c r="D12" i="1"/>
  <c r="H11" i="12"/>
  <c r="G11" i="12"/>
  <c r="F11" i="12"/>
  <c r="D11" i="12"/>
  <c r="C11" i="12"/>
  <c r="K11" i="12" s="1"/>
  <c r="I11" i="12" l="1"/>
  <c r="I12" i="12" s="1"/>
  <c r="I13" i="12" s="1"/>
  <c r="I13" i="14"/>
  <c r="I14" i="14" s="1"/>
  <c r="I26" i="14"/>
  <c r="I27" i="14" s="1"/>
  <c r="I14" i="7"/>
  <c r="I15" i="7" s="1"/>
  <c r="I28" i="7"/>
  <c r="I29" i="7" s="1"/>
  <c r="I52" i="9"/>
  <c r="I53" i="9" s="1"/>
  <c r="I34" i="7" l="1"/>
  <c r="I32" i="14"/>
  <c r="D26" i="1" l="1"/>
  <c r="E13" i="13" l="1"/>
  <c r="B17" i="26"/>
  <c r="H10" i="1"/>
  <c r="I10" i="1"/>
  <c r="J10" i="1"/>
  <c r="K10" i="1"/>
  <c r="L10" i="1" l="1"/>
  <c r="C39" i="9" l="1"/>
  <c r="D39" i="9"/>
  <c r="E39" i="9"/>
  <c r="F39" i="9"/>
  <c r="G39" i="9"/>
  <c r="H39" i="9"/>
  <c r="B39" i="9"/>
  <c r="I39" i="9" l="1"/>
  <c r="I40" i="9" s="1"/>
  <c r="I70" i="9" s="1"/>
  <c r="D115" i="1"/>
  <c r="L26" i="1"/>
  <c r="K26" i="1"/>
  <c r="E15" i="13" l="1"/>
  <c r="H17" i="26"/>
  <c r="D171" i="1"/>
  <c r="D170" i="1"/>
  <c r="D169" i="1"/>
  <c r="D168" i="1"/>
  <c r="D167" i="1"/>
  <c r="D172" i="1" l="1"/>
  <c r="D56" i="1" l="1"/>
  <c r="B33" i="26" s="1"/>
  <c r="D57" i="1" l="1"/>
  <c r="I55" i="1"/>
  <c r="H55" i="1"/>
  <c r="H26" i="1"/>
  <c r="G26" i="1"/>
  <c r="D100" i="1"/>
  <c r="D99" i="1"/>
  <c r="D98" i="1"/>
  <c r="D97" i="1"/>
  <c r="D96" i="1"/>
  <c r="D83" i="1"/>
  <c r="E14" i="13" l="1"/>
  <c r="E17" i="26"/>
  <c r="D58" i="1"/>
  <c r="B28" i="13" s="1" a="1"/>
  <c r="B28" i="13" s="1"/>
  <c r="E25" i="13" a="1"/>
  <c r="E25" i="13" s="1"/>
  <c r="H9" i="1"/>
  <c r="H11" i="1" s="1"/>
  <c r="D101" i="1"/>
  <c r="C26" i="1" l="1"/>
  <c r="D86" i="1"/>
  <c r="D85" i="1"/>
  <c r="D84" i="1"/>
  <c r="D82" i="1"/>
  <c r="G9" i="1" s="1"/>
  <c r="G11" i="1" l="1"/>
  <c r="K9" i="1"/>
  <c r="K11" i="1" s="1"/>
  <c r="I9" i="1"/>
  <c r="I11" i="1" s="1"/>
  <c r="J9" i="1"/>
  <c r="J11" i="1" s="1"/>
  <c r="D87" i="1"/>
  <c r="L11" i="1" l="1"/>
  <c r="B73" i="1" s="1"/>
  <c r="L9" i="1"/>
  <c r="C56" i="1" l="1"/>
  <c r="N56" i="1" s="1"/>
  <c r="N51" i="1" l="1"/>
  <c r="H56" i="1"/>
  <c r="I56" i="1"/>
  <c r="I58" i="1" l="1"/>
  <c r="I59" i="1" s="1"/>
  <c r="C67" i="1"/>
  <c r="I67" i="1" s="1"/>
  <c r="H58" i="1"/>
  <c r="H59" i="1" s="1"/>
  <c r="B67" i="1"/>
  <c r="H67" i="1" s="1"/>
  <c r="D67" i="1" l="1"/>
  <c r="B68" i="1" l="1"/>
  <c r="B66" i="1"/>
  <c r="C68" i="1"/>
  <c r="I68" i="1" s="1"/>
  <c r="C66" i="1"/>
  <c r="I66" i="1" s="1"/>
  <c r="H66" i="1" l="1"/>
  <c r="D66" i="1"/>
  <c r="D68" i="1"/>
  <c r="H68" i="1"/>
  <c r="C70" i="1"/>
  <c r="B70" i="1"/>
  <c r="I70" i="1"/>
  <c r="I71" i="1" s="1"/>
  <c r="N64" i="1" l="1"/>
  <c r="D157" i="1"/>
  <c r="H70" i="1"/>
  <c r="H71" i="1" s="1"/>
  <c r="D70" i="1"/>
  <c r="F6" i="1" l="1"/>
  <c r="G37" i="13" l="1"/>
  <c r="G33" i="13" l="1"/>
  <c r="G32" i="13" l="1"/>
  <c r="G36" i="13"/>
  <c r="G39" i="13" l="1"/>
  <c r="G25" i="13"/>
  <c r="I25" i="13"/>
  <c r="B69" i="21"/>
  <c r="C69" i="21"/>
  <c r="D32" i="22" s="1"/>
  <c r="F32" i="22" s="1"/>
  <c r="E69" i="21"/>
  <c r="D33" i="22" s="1"/>
  <c r="D36" i="22" l="1"/>
  <c r="F33" i="22"/>
  <c r="F36" i="22" s="1"/>
  <c r="G36" i="22" l="1"/>
  <c r="H78" i="1" s="1"/>
  <c r="H92" i="1" s="1"/>
  <c r="H106" i="1" s="1"/>
  <c r="F38" i="22"/>
  <c r="I6" i="22" s="1"/>
  <c r="D38" i="22"/>
  <c r="D31" i="22"/>
  <c r="L17" i="22" l="1"/>
  <c r="L18" i="22"/>
  <c r="H19" i="22"/>
  <c r="J19" i="22" s="1"/>
  <c r="H20" i="22"/>
  <c r="J20" i="22" s="1"/>
  <c r="H18" i="22"/>
  <c r="J18" i="22" s="1"/>
  <c r="H16" i="22"/>
  <c r="J16" i="22" s="1"/>
  <c r="I5" i="22"/>
  <c r="L16" i="22"/>
  <c r="H17" i="22"/>
  <c r="J17" i="22" s="1"/>
  <c r="L19" i="22"/>
  <c r="L20" i="22"/>
  <c r="H163" i="1"/>
  <c r="H120" i="1"/>
  <c r="H134" i="1" s="1"/>
  <c r="H148" i="1" s="1"/>
  <c r="I17" i="22" l="1"/>
  <c r="K17" i="22" s="1"/>
  <c r="N17" i="22" s="1"/>
  <c r="I19" i="22"/>
  <c r="K19" i="22" s="1"/>
  <c r="N19" i="22" s="1"/>
  <c r="M17" i="22"/>
  <c r="M18" i="22"/>
  <c r="M16" i="22"/>
  <c r="I16" i="22"/>
  <c r="K16" i="22" s="1"/>
  <c r="M19" i="22"/>
  <c r="I20" i="22"/>
  <c r="K20" i="22" s="1"/>
  <c r="I18" i="22"/>
  <c r="K18" i="22" s="1"/>
  <c r="N18" i="22" s="1"/>
  <c r="M20" i="22"/>
  <c r="O17" i="22" l="1"/>
  <c r="H8" i="1" s="1"/>
  <c r="B83" i="1" s="1"/>
  <c r="O18" i="22"/>
  <c r="I8" i="1" s="1"/>
  <c r="B84" i="1" s="1"/>
  <c r="N20" i="22"/>
  <c r="O20" i="22" s="1"/>
  <c r="N16" i="22"/>
  <c r="O16" i="22" s="1"/>
  <c r="O19" i="22"/>
  <c r="J8" i="1" s="1"/>
  <c r="B85" i="1" s="1"/>
  <c r="G8" i="1" l="1"/>
  <c r="B82" i="1" s="1"/>
  <c r="F82" i="1" s="1"/>
  <c r="F83" i="1"/>
  <c r="B97" i="1"/>
  <c r="B98" i="1"/>
  <c r="F84" i="1"/>
  <c r="F85" i="1"/>
  <c r="B99" i="1"/>
  <c r="K8" i="1"/>
  <c r="B86" i="1" s="1"/>
  <c r="B96" i="1" l="1"/>
  <c r="B110" i="1" s="1"/>
  <c r="F86" i="1"/>
  <c r="F87" i="1" s="1"/>
  <c r="B100" i="1"/>
  <c r="G83" i="1"/>
  <c r="G82" i="1"/>
  <c r="H82" i="1" s="1"/>
  <c r="F99" i="1"/>
  <c r="B113" i="1"/>
  <c r="G85" i="1"/>
  <c r="G84" i="1"/>
  <c r="B112" i="1"/>
  <c r="F98" i="1"/>
  <c r="F97" i="1"/>
  <c r="B111" i="1"/>
  <c r="F96" i="1" l="1"/>
  <c r="G96" i="1" s="1"/>
  <c r="H96" i="1" s="1"/>
  <c r="F111" i="1"/>
  <c r="B168" i="1"/>
  <c r="F168" i="1" s="1"/>
  <c r="B125" i="1"/>
  <c r="H85" i="1"/>
  <c r="I85" i="1" s="1"/>
  <c r="G97" i="1"/>
  <c r="H97" i="1" s="1"/>
  <c r="H83" i="1"/>
  <c r="I83" i="1" s="1"/>
  <c r="B127" i="1"/>
  <c r="B170" i="1"/>
  <c r="F170" i="1" s="1"/>
  <c r="F113" i="1"/>
  <c r="B169" i="1"/>
  <c r="F169" i="1" s="1"/>
  <c r="F112" i="1"/>
  <c r="B126" i="1"/>
  <c r="G86" i="1"/>
  <c r="G98" i="1"/>
  <c r="H98" i="1" s="1"/>
  <c r="I98" i="1" s="1"/>
  <c r="G99" i="1"/>
  <c r="H99" i="1" s="1"/>
  <c r="I99" i="1" s="1"/>
  <c r="F100" i="1"/>
  <c r="F101" i="1" s="1"/>
  <c r="B114" i="1"/>
  <c r="H84" i="1"/>
  <c r="I84" i="1" s="1"/>
  <c r="I82" i="1"/>
  <c r="B124" i="1"/>
  <c r="B167" i="1"/>
  <c r="F167" i="1" s="1"/>
  <c r="F110" i="1"/>
  <c r="B140" i="1" l="1"/>
  <c r="F126" i="1"/>
  <c r="I96" i="1"/>
  <c r="G112" i="1"/>
  <c r="I97" i="1"/>
  <c r="K169" i="1"/>
  <c r="L169" i="1" s="1"/>
  <c r="G169" i="1"/>
  <c r="H169" i="1" s="1"/>
  <c r="G113" i="1"/>
  <c r="H113" i="1" s="1"/>
  <c r="I113" i="1" s="1"/>
  <c r="F125" i="1"/>
  <c r="B139" i="1"/>
  <c r="G110" i="1"/>
  <c r="G170" i="1"/>
  <c r="H170" i="1" s="1"/>
  <c r="K170" i="1"/>
  <c r="L170" i="1" s="1"/>
  <c r="G168" i="1"/>
  <c r="H168" i="1" s="1"/>
  <c r="I168" i="1" s="1"/>
  <c r="J52" i="1" s="1"/>
  <c r="F19" i="25" s="1"/>
  <c r="K168" i="1"/>
  <c r="L168" i="1" s="1"/>
  <c r="K167" i="1"/>
  <c r="G167" i="1"/>
  <c r="B171" i="1"/>
  <c r="F171" i="1" s="1"/>
  <c r="F172" i="1" s="1"/>
  <c r="I33" i="13" s="1"/>
  <c r="F114" i="1"/>
  <c r="F115" i="1" s="1"/>
  <c r="B128" i="1"/>
  <c r="H86" i="1"/>
  <c r="I86" i="1" s="1"/>
  <c r="I87" i="1" s="1"/>
  <c r="B141" i="1"/>
  <c r="F127" i="1"/>
  <c r="G111" i="1"/>
  <c r="B138" i="1"/>
  <c r="F124" i="1"/>
  <c r="G100" i="1"/>
  <c r="H100" i="1" s="1"/>
  <c r="F31" i="25" l="1"/>
  <c r="F29" i="25"/>
  <c r="F28" i="25"/>
  <c r="F30" i="25"/>
  <c r="F32" i="25"/>
  <c r="C28" i="1"/>
  <c r="C13" i="13" s="1"/>
  <c r="H13" i="13" s="1"/>
  <c r="I13" i="13"/>
  <c r="H167" i="1"/>
  <c r="I167" i="1" s="1"/>
  <c r="I170" i="1"/>
  <c r="J54" i="1" s="1"/>
  <c r="I169" i="1"/>
  <c r="J53" i="1" s="1"/>
  <c r="F20" i="25" s="1"/>
  <c r="H112" i="1"/>
  <c r="I112" i="1" s="1"/>
  <c r="I100" i="1"/>
  <c r="I101" i="1" s="1"/>
  <c r="F141" i="1"/>
  <c r="B155" i="1"/>
  <c r="F155" i="1" s="1"/>
  <c r="H110" i="1"/>
  <c r="I110" i="1" s="1"/>
  <c r="B153" i="1"/>
  <c r="F153" i="1" s="1"/>
  <c r="F139" i="1"/>
  <c r="H111" i="1"/>
  <c r="I111" i="1" s="1"/>
  <c r="L167" i="1"/>
  <c r="G127" i="1"/>
  <c r="H127" i="1" s="1"/>
  <c r="I127" i="1" s="1"/>
  <c r="G124" i="1"/>
  <c r="F128" i="1"/>
  <c r="F129" i="1" s="1"/>
  <c r="B142" i="1"/>
  <c r="G125" i="1"/>
  <c r="H125" i="1" s="1"/>
  <c r="I125" i="1" s="1"/>
  <c r="B152" i="1"/>
  <c r="F152" i="1" s="1"/>
  <c r="F138" i="1"/>
  <c r="G114" i="1"/>
  <c r="H114" i="1" s="1"/>
  <c r="G126" i="1"/>
  <c r="H126" i="1" s="1"/>
  <c r="G171" i="1"/>
  <c r="G172" i="1" s="1"/>
  <c r="K171" i="1"/>
  <c r="L171" i="1" s="1"/>
  <c r="F140" i="1"/>
  <c r="B154" i="1"/>
  <c r="F154" i="1" s="1"/>
  <c r="G32" i="25" l="1"/>
  <c r="G31" i="25"/>
  <c r="G29" i="25"/>
  <c r="G30" i="25"/>
  <c r="G28" i="25"/>
  <c r="F21" i="25"/>
  <c r="G13" i="13"/>
  <c r="I14" i="13"/>
  <c r="G28" i="1"/>
  <c r="C14" i="13" s="1"/>
  <c r="G14" i="13" s="1"/>
  <c r="I114" i="1"/>
  <c r="I115" i="1" s="1"/>
  <c r="B156" i="1"/>
  <c r="F156" i="1" s="1"/>
  <c r="F157" i="1" s="1"/>
  <c r="F142" i="1"/>
  <c r="F143" i="1" s="1"/>
  <c r="J51" i="1"/>
  <c r="F18" i="25" s="1"/>
  <c r="G138" i="1"/>
  <c r="H138" i="1" s="1"/>
  <c r="I138" i="1" s="1"/>
  <c r="K172" i="1"/>
  <c r="G152" i="1"/>
  <c r="H152" i="1" s="1"/>
  <c r="I152" i="1" s="1"/>
  <c r="G139" i="1"/>
  <c r="H139" i="1" s="1"/>
  <c r="I139" i="1" s="1"/>
  <c r="G154" i="1"/>
  <c r="I126" i="1"/>
  <c r="H124" i="1"/>
  <c r="I124" i="1" s="1"/>
  <c r="G141" i="1"/>
  <c r="H141" i="1" s="1"/>
  <c r="I141" i="1" s="1"/>
  <c r="G140" i="1"/>
  <c r="H140" i="1" s="1"/>
  <c r="I140" i="1" s="1"/>
  <c r="H171" i="1"/>
  <c r="I171" i="1" s="1"/>
  <c r="I172" i="1" s="1"/>
  <c r="G128" i="1"/>
  <c r="G153" i="1"/>
  <c r="H153" i="1" s="1"/>
  <c r="G155" i="1"/>
  <c r="L172" i="1"/>
  <c r="L59" i="1" s="1"/>
  <c r="C37" i="13" s="1"/>
  <c r="H37" i="13" s="1"/>
  <c r="E29" i="25" l="1"/>
  <c r="E30" i="25"/>
  <c r="E32" i="25"/>
  <c r="E31" i="25"/>
  <c r="E28" i="25"/>
  <c r="H32" i="25"/>
  <c r="H29" i="25"/>
  <c r="H31" i="25"/>
  <c r="H28" i="25"/>
  <c r="H30" i="25"/>
  <c r="H14" i="13"/>
  <c r="I15" i="13"/>
  <c r="G42" i="1"/>
  <c r="C17" i="13" s="1"/>
  <c r="H17" i="13" s="1"/>
  <c r="K28" i="1"/>
  <c r="C15" i="13" s="1"/>
  <c r="H15" i="13" s="1"/>
  <c r="H172" i="1"/>
  <c r="G173" i="1" s="1"/>
  <c r="H155" i="1"/>
  <c r="I155" i="1" s="1"/>
  <c r="H154" i="1"/>
  <c r="I154" i="1" s="1"/>
  <c r="I153" i="1"/>
  <c r="K173" i="1"/>
  <c r="K174" i="1" s="1"/>
  <c r="C25" i="13" s="1"/>
  <c r="L58" i="1"/>
  <c r="C33" i="13" s="1"/>
  <c r="H33" i="13" s="1"/>
  <c r="H128" i="1"/>
  <c r="I128" i="1" s="1"/>
  <c r="I129" i="1" s="1"/>
  <c r="G142" i="1"/>
  <c r="H142" i="1" s="1"/>
  <c r="G156" i="1"/>
  <c r="K42" i="1"/>
  <c r="C18" i="13" s="1"/>
  <c r="J55" i="1"/>
  <c r="F22" i="25" s="1"/>
  <c r="I29" i="25" l="1"/>
  <c r="I28" i="25"/>
  <c r="I32" i="25"/>
  <c r="I31" i="25"/>
  <c r="I30" i="25"/>
  <c r="G15" i="13"/>
  <c r="G17" i="13"/>
  <c r="C42" i="1"/>
  <c r="C16" i="13" s="1"/>
  <c r="G16" i="13" s="1"/>
  <c r="F176" i="1"/>
  <c r="I20" i="13"/>
  <c r="I32" i="13" s="1"/>
  <c r="I39" i="13" s="1"/>
  <c r="L57" i="1"/>
  <c r="C20" i="13"/>
  <c r="G174" i="1"/>
  <c r="H156" i="1"/>
  <c r="I156" i="1" s="1"/>
  <c r="I157" i="1" s="1"/>
  <c r="I142" i="1"/>
  <c r="I143" i="1" s="1"/>
  <c r="G18" i="13"/>
  <c r="H18" i="13"/>
  <c r="E33" i="25" l="1"/>
  <c r="E35" i="25" s="1"/>
  <c r="I176" i="1"/>
  <c r="I42" i="13" s="1"/>
  <c r="C21" i="13"/>
  <c r="H16" i="13"/>
  <c r="C36" i="13"/>
  <c r="G20" i="13"/>
  <c r="G21" i="13" s="1"/>
  <c r="G42" i="13" s="1"/>
  <c r="C32" i="13"/>
  <c r="H20" i="13"/>
  <c r="I21" i="13"/>
  <c r="J42" i="13" l="1"/>
  <c r="H21" i="13"/>
  <c r="H32" i="13"/>
  <c r="C34" i="13"/>
  <c r="C38" i="13"/>
  <c r="H36" i="13"/>
  <c r="H39" i="13" l="1"/>
  <c r="H42"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tc={61EBCDA3-22BE-EB4F-ABE8-EA61EAAE3800}</author>
    <author>tc={52605B98-B041-D04E-B1AF-617920BA9163}</author>
  </authors>
  <commentList>
    <comment ref="B32" authorId="0" shapeId="0" xr:uid="{00000000-0006-0000-0200-000001000000}">
      <text>
        <r>
          <rPr>
            <sz val="12"/>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Rechenlogik siehe Erläuterungen Zelle …</t>
        </r>
      </text>
    </comment>
    <comment ref="B36" authorId="1" shapeId="0" xr:uid="{00000000-0006-0000-0200-000002000000}">
      <text>
        <r>
          <rPr>
            <sz val="12"/>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Rechenlogik siehe Erläuterungen Zelle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Becker, Jan (LSJV Mainz)</author>
  </authors>
  <commentList>
    <comment ref="O15" authorId="0" shapeId="0" xr:uid="{00000000-0006-0000-0300-000001000000}">
      <text>
        <r>
          <rPr>
            <b/>
            <sz val="9"/>
            <color rgb="FF000000"/>
            <rFont val="Segoe UI"/>
            <family val="2"/>
            <charset val="1"/>
          </rPr>
          <t>Becker, Jan (LSJV Mainz):</t>
        </r>
        <r>
          <rPr>
            <sz val="9"/>
            <color rgb="FF000000"/>
            <rFont val="Segoe UI"/>
            <family val="2"/>
            <charset val="1"/>
          </rPr>
          <t xml:space="preserve">
</t>
        </r>
        <r>
          <rPr>
            <sz val="11"/>
            <color rgb="FF000000"/>
            <rFont val="Segoe UI"/>
            <family val="2"/>
            <charset val="1"/>
          </rPr>
          <t>Erläuterungsfeld für Veränderungen zwischen Gestehungskosten und prospektiven Kosten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Becker, Jan (LSJV Mainz)</author>
  </authors>
  <commentList>
    <comment ref="M14" authorId="0" shapeId="0" xr:uid="{00000000-0006-0000-0400-000001000000}">
      <text>
        <r>
          <rPr>
            <b/>
            <sz val="9"/>
            <color rgb="FF000000"/>
            <rFont val="Segoe UI"/>
            <family val="2"/>
            <charset val="1"/>
          </rPr>
          <t>Becker, Jan (LSJV Mainz):</t>
        </r>
        <r>
          <rPr>
            <sz val="9"/>
            <color rgb="FF000000"/>
            <rFont val="Segoe UI"/>
            <family val="2"/>
            <charset val="1"/>
          </rPr>
          <t xml:space="preserve">
</t>
        </r>
        <r>
          <rPr>
            <sz val="10"/>
            <color rgb="FF000000"/>
            <rFont val="Segoe UI"/>
            <family val="2"/>
            <charset val="1"/>
          </rPr>
          <t>Erläuterungsfeld für Veränderungen zwischen Gestehungskosten und prospektiven Kosten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<sst xmlns="http://schemas.openxmlformats.org/spreadsheetml/2006/main" count="1326" uniqueCount="500">
  <si>
    <t>Q2</t>
  </si>
  <si>
    <t>Q3</t>
  </si>
  <si>
    <t>Q4</t>
  </si>
  <si>
    <t>IST</t>
  </si>
  <si>
    <t>VK p.a.</t>
  </si>
  <si>
    <t>SOLL</t>
  </si>
  <si>
    <t>qA</t>
  </si>
  <si>
    <t>%</t>
  </si>
  <si>
    <t>1 VK p.a.</t>
  </si>
  <si>
    <t>1 VK p.a.:</t>
  </si>
  <si>
    <t>h</t>
  </si>
  <si>
    <t>h p.a.</t>
  </si>
  <si>
    <t>Spanne</t>
  </si>
  <si>
    <t>Klienten:</t>
  </si>
  <si>
    <t>Wochen:</t>
  </si>
  <si>
    <t>Summe</t>
  </si>
  <si>
    <t>h/Klient p.w.</t>
  </si>
  <si>
    <t>EUR</t>
  </si>
  <si>
    <t>SK/IK</t>
  </si>
  <si>
    <t>Leitung/
Verwaltung</t>
  </si>
  <si>
    <t>pauschal</t>
  </si>
  <si>
    <t>x</t>
  </si>
  <si>
    <t>=</t>
  </si>
  <si>
    <t>je FLS Q2</t>
  </si>
  <si>
    <t>je FLS Q3</t>
  </si>
  <si>
    <t>je FLS Q4</t>
  </si>
  <si>
    <t>Tagessatz</t>
  </si>
  <si>
    <t>unteres Volumen</t>
  </si>
  <si>
    <t>oberes Volumen</t>
  </si>
  <si>
    <t>mittleres Volumen</t>
  </si>
  <si>
    <t>nach-
richtlich</t>
  </si>
  <si>
    <t>Anzahl</t>
  </si>
  <si>
    <t>p.a.</t>
  </si>
  <si>
    <t>Gestehung
prospektiv</t>
  </si>
  <si>
    <t>innerhalb
Spanne</t>
  </si>
  <si>
    <t>Q1a</t>
  </si>
  <si>
    <t>Q1b</t>
  </si>
  <si>
    <t xml:space="preserve">Leistungsvolumen ergänzende individuelle Leistungen VK und Stunden (ohne Vorhalte) </t>
  </si>
  <si>
    <t>% Abweichung Mittel</t>
  </si>
  <si>
    <t>FLS qA</t>
  </si>
  <si>
    <t>FLS kA</t>
  </si>
  <si>
    <t>kA</t>
  </si>
  <si>
    <t>%+-</t>
  </si>
  <si>
    <t>je FLS Q1a</t>
  </si>
  <si>
    <t>je FLS Q1b</t>
  </si>
  <si>
    <t>FLS-Satz</t>
  </si>
  <si>
    <t>PK 
Betreuung</t>
  </si>
  <si>
    <t>qA
qualifizie-rende
Assistenz</t>
  </si>
  <si>
    <t>kA
kompensa-torische
Assistenz</t>
  </si>
  <si>
    <t>Sozialarbeiter:in (Diplom/Master/Bachelor)</t>
  </si>
  <si>
    <t>Sozialpädagog:in (Diplom/Master/Bachelor)</t>
  </si>
  <si>
    <t>Altenpfleger:innen (ausgebildet)</t>
  </si>
  <si>
    <t>Gesundheits- und Krankenpfleger:innen (ausgebildet)</t>
  </si>
  <si>
    <t>Heilpädagog:innen (3 Jahre)</t>
  </si>
  <si>
    <t>Ergotherapeuten ((Diplom/Master/Bachelor)</t>
  </si>
  <si>
    <t>Pädagog:in (Diplom/Master/Bachelor)</t>
  </si>
  <si>
    <t>Q-Gruppe
Katalog-
tätigkeiten</t>
  </si>
  <si>
    <t>Stellen-/
Personalnr.
- Eingabe -</t>
  </si>
  <si>
    <t>Kraft ohne Ausbildung oder Kraft mit einer nicht-fachspezifischen Ausbildung, z. B. angelernte Kräfte</t>
  </si>
  <si>
    <t>langjährige fachspezifische Tätigkeit i.V.m. einschlägiger Weiterbildung</t>
  </si>
  <si>
    <t>Genesungsbegleiter:innen (ausgebildet)</t>
  </si>
  <si>
    <t>Arzthelfer:innen (ausgebildet)</t>
  </si>
  <si>
    <t>Pflegehelfer:innen (ausgebildet)</t>
  </si>
  <si>
    <t>Sozialpädagogische Assistent:innen (ausgebildet)</t>
  </si>
  <si>
    <t>Sozialassistent:innen (ausgebildet)</t>
  </si>
  <si>
    <t>Kinderpfleger:innen (ausgebildet)</t>
  </si>
  <si>
    <t>Hauswirtschaftsmeister:in (ausgebildet)</t>
  </si>
  <si>
    <t>Hauswirtschaftskraft (ausgebildet)</t>
  </si>
  <si>
    <t>sonst. pflegespezifische Ausbildung (3 Jahre)</t>
  </si>
  <si>
    <t>Gesundheits- und Kinderkrankenpfleger:innen (ausgebildet)</t>
  </si>
  <si>
    <t>Pflegefachfrau/mann (ausgebildet)</t>
  </si>
  <si>
    <t>sonst. fachspezifische Ausbildung (3 Jahre)</t>
  </si>
  <si>
    <t>Heilerziehungspfleger:innen (3 Jahre)</t>
  </si>
  <si>
    <t>Ergotherapeut:innen (3 Jahre)</t>
  </si>
  <si>
    <t>Erzieher:innen (3 Jahre)</t>
  </si>
  <si>
    <t>sonst. fachspezifisch Diplom/Master/Bachelor</t>
  </si>
  <si>
    <t>Ärztin/Arzt (Examen)</t>
  </si>
  <si>
    <t>Psycholog:in (Diplom/Master/Bachelor)</t>
  </si>
  <si>
    <t>Heilpädagogen (Diplom/Master/Bachelor)</t>
  </si>
  <si>
    <t>Erziehungswissenschaftler:in (Diplom/Master/Bachelor)</t>
  </si>
  <si>
    <t>individuelle Leistungen (ohne Vorhalteleistungen = pauschale Leistungen)</t>
  </si>
  <si>
    <t>Mo</t>
  </si>
  <si>
    <t>Di</t>
  </si>
  <si>
    <t>Mi</t>
  </si>
  <si>
    <t>Do</t>
  </si>
  <si>
    <t>Fr</t>
  </si>
  <si>
    <t>Sa</t>
  </si>
  <si>
    <t>So</t>
  </si>
  <si>
    <t>von</t>
  </si>
  <si>
    <t>bis</t>
  </si>
  <si>
    <t>Stunden</t>
  </si>
  <si>
    <t>Auslastung</t>
  </si>
  <si>
    <t>VK</t>
  </si>
  <si>
    <t>individuelle Leistungen</t>
  </si>
  <si>
    <t>PK qA</t>
  </si>
  <si>
    <t>PK kA</t>
  </si>
  <si>
    <t>Aufschlag 
V1</t>
  </si>
  <si>
    <t>Aufschlag 
V2</t>
  </si>
  <si>
    <t>Aufschlag 
I1</t>
  </si>
  <si>
    <t>Aufschlag 
I2</t>
  </si>
  <si>
    <t>Tagessatz:</t>
  </si>
  <si>
    <t>VK Spanne</t>
  </si>
  <si>
    <t>VK gesamt</t>
  </si>
  <si>
    <t>Tarifcluster:</t>
  </si>
  <si>
    <t>Gärtner:in</t>
  </si>
  <si>
    <t>Reinigungskraft</t>
  </si>
  <si>
    <t>Hausmeister:in</t>
  </si>
  <si>
    <t>Koch/Köchin</t>
  </si>
  <si>
    <t>Modul:</t>
  </si>
  <si>
    <r>
      <t>1.</t>
    </r>
    <r>
      <rPr>
        <sz val="7"/>
        <color theme="1"/>
        <rFont val="Times New Roman"/>
        <family val="1"/>
      </rPr>
      <t xml:space="preserve">     </t>
    </r>
    <r>
      <rPr>
        <sz val="11"/>
        <color theme="1"/>
        <rFont val="Arial"/>
        <family val="2"/>
      </rPr>
      <t>Tagesstruktur,</t>
    </r>
  </si>
  <si>
    <r>
      <t>2.</t>
    </r>
    <r>
      <rPr>
        <sz val="7"/>
        <color theme="1"/>
        <rFont val="Times New Roman"/>
        <family val="1"/>
      </rPr>
      <t xml:space="preserve">     </t>
    </r>
    <r>
      <rPr>
        <sz val="11"/>
        <color theme="1"/>
        <rFont val="Arial"/>
        <family val="2"/>
      </rPr>
      <t>Teilhabe in der eigenen Wohnung und anderen Wohnformen innerhalb und außerhalb von besonderen Wohnformen,</t>
    </r>
  </si>
  <si>
    <r>
      <t>3.</t>
    </r>
    <r>
      <rPr>
        <sz val="7"/>
        <color theme="1"/>
        <rFont val="Times New Roman"/>
        <family val="1"/>
      </rPr>
      <t xml:space="preserve">     </t>
    </r>
    <r>
      <rPr>
        <sz val="11"/>
        <color theme="1"/>
        <rFont val="Arial"/>
        <family val="2"/>
      </rPr>
      <t>Teilhabe im Sozialraum,</t>
    </r>
  </si>
  <si>
    <r>
      <t>4.</t>
    </r>
    <r>
      <rPr>
        <sz val="7"/>
        <color theme="1"/>
        <rFont val="Times New Roman"/>
        <family val="1"/>
      </rPr>
      <t xml:space="preserve">     </t>
    </r>
    <r>
      <rPr>
        <sz val="11"/>
        <color theme="1"/>
        <rFont val="Arial"/>
        <family val="2"/>
      </rPr>
      <t>zusätzliche spezielle Bedarfslagen.</t>
    </r>
  </si>
  <si>
    <t>h/Woche</t>
  </si>
  <si>
    <t>VK-Bedarf</t>
  </si>
  <si>
    <t>Klienten je 1 VK:</t>
  </si>
  <si>
    <t>h 1 VK p.a.:</t>
  </si>
  <si>
    <t>Tage p.a.:</t>
  </si>
  <si>
    <t>Pauschale Leistungen (=Basisleistung = Tagessatz)</t>
  </si>
  <si>
    <t>Basisleistung</t>
  </si>
  <si>
    <r>
      <rPr>
        <u/>
        <sz val="12"/>
        <color theme="1"/>
        <rFont val="Calibri (Textkörper)"/>
      </rPr>
      <t>rötliche Felder:</t>
    </r>
    <r>
      <rPr>
        <sz val="12"/>
        <color theme="1"/>
        <rFont val="Calibri"/>
        <family val="2"/>
        <scheme val="minor"/>
      </rPr>
      <t xml:space="preserve"> </t>
    </r>
  </si>
  <si>
    <t>gelbliche Felder:</t>
  </si>
  <si>
    <t>Bitte Kommentarbereich in der Spalte N beachten.</t>
  </si>
  <si>
    <t>Standardwerte gemäß Vereinbarung der Parteien und teilweise regelmäßig (jährlich) anzupassen. Aufschläge V2 und I2 bei ambulant und bes WF 15%; bei TS/TF mindestens 15% und nach noch zu definierenden Standards auch höher möglich.</t>
  </si>
  <si>
    <t xml:space="preserve">Hier angebotsindividuelle Angaben/Einträge erforderlich
</t>
  </si>
  <si>
    <t>Wählen Sie das Modul aus. 
Je Modul ist eine gesonderte Datei zu erstellen!</t>
  </si>
  <si>
    <t>Fachleistungsstundensatz</t>
  </si>
  <si>
    <t>Plätze</t>
  </si>
  <si>
    <t>MA je Schicht:</t>
  </si>
  <si>
    <t>Schicht 1</t>
  </si>
  <si>
    <t>Schicht 2</t>
  </si>
  <si>
    <t>Vorhalt Nachtbereitschaft</t>
  </si>
  <si>
    <t>Vorhalt Nachtwache</t>
  </si>
  <si>
    <t>Vorhalt Tagespräsenz</t>
  </si>
  <si>
    <t>Bitte Bedarf (Tage p.a. und Mitarbeiter je Schicht) kurz erläutern.</t>
  </si>
  <si>
    <t>Berücksichtigen Sie bei IST VK p.a. das zu Einzelfallhilfen eingesetzte Personal mit -  auch wenn bisher ggf. gesondert betrachtet/vergütet wurde.</t>
  </si>
  <si>
    <t>Berücksichtigung zu …%:</t>
  </si>
  <si>
    <t>MA gleichzeitig in dieser Schicht:</t>
  </si>
  <si>
    <t>entspricht Schlüssel zu Klient:</t>
  </si>
  <si>
    <t>Name des Angebots:</t>
  </si>
  <si>
    <t>Aktenzeichen LSJV:</t>
  </si>
  <si>
    <t>Träger des Angebots:</t>
  </si>
  <si>
    <t>Name Ansprechpartner Anbieter:</t>
  </si>
  <si>
    <t>Tel.:</t>
  </si>
  <si>
    <t>e-mail:</t>
  </si>
  <si>
    <t>Auslastung:</t>
  </si>
  <si>
    <t>Plätze/Klienten:</t>
  </si>
  <si>
    <t>Basisleistung Individuelle Leistungen 
Leitung/Verwaltung/SK/IK:</t>
  </si>
  <si>
    <t>Fachleistungsstundensatz qualifizierende Assistenz 60 Minuten (qA):</t>
  </si>
  <si>
    <t>Fachleistungsstundensatz kompensatorische Assistenz 60 Minuten (kA):</t>
  </si>
  <si>
    <t>hh:mm</t>
  </si>
  <si>
    <t>mindest VK-Bedarf 
gemäß Öffnungszeiten</t>
  </si>
  <si>
    <t>max. Klienten 
bei mindest-VK</t>
  </si>
  <si>
    <t>angewandter Tarif:</t>
  </si>
  <si>
    <t>Basisleistung nn</t>
  </si>
  <si>
    <t>Bitte auswählen, wenn zutreffend oder eingeben.</t>
  </si>
  <si>
    <t>Abrechnung:</t>
  </si>
  <si>
    <t>Tagesstruktur/-gruppe/-stätte</t>
  </si>
  <si>
    <t>Präsenz am Tag</t>
  </si>
  <si>
    <t>h. p.a.:</t>
  </si>
  <si>
    <t>Präsenz Nachtwache</t>
  </si>
  <si>
    <t>Präsenz Nachtbereitschaft</t>
  </si>
  <si>
    <t>höhere Werte tarif-
individuell verhandelbar</t>
  </si>
  <si>
    <t>Sonderregelungen Ruf-Bereitschaft</t>
  </si>
  <si>
    <t>Bitte Bedarf (Tage p.a., Mitarbeiter je Schicht, %-Wert) kurz erläutern.</t>
  </si>
  <si>
    <t>Tagesgruppe/-struktur/-förderung/-stätte</t>
  </si>
  <si>
    <t>Die jeweilige Summe VK p.a. SOLL muss der Zahl entsprechen, die sich rechnerisch aus den Tabellenbättern "3a. Vorhalt Tag", "3b. Vorhalt NachtWach", "3c. Vorhalt NachtBereit", "3d. Vorhalt Sonder Ruf-Bereit", "TG-TS-TF" ergibt.</t>
  </si>
  <si>
    <t>Wird für Phase 2 relevant und dann eingeblendet.</t>
  </si>
  <si>
    <t>Versionsverlauf:</t>
  </si>
  <si>
    <t>Wirtschaftsdienst</t>
  </si>
  <si>
    <t>Erläuterungen</t>
  </si>
  <si>
    <t>Bruttopersonalkosten</t>
  </si>
  <si>
    <t>Erfahrungsstufe</t>
  </si>
  <si>
    <t>Eingruppierung</t>
  </si>
  <si>
    <t>Stellenanteil</t>
  </si>
  <si>
    <t>Tarif</t>
  </si>
  <si>
    <t>Tätigkeit</t>
  </si>
  <si>
    <t xml:space="preserve">Kategorie
</t>
  </si>
  <si>
    <t>prospektive jährliche Kosten</t>
  </si>
  <si>
    <t>Übernahme aus Standardkalkulation</t>
  </si>
  <si>
    <t>Von dem hier berücksichtigten Personal werden mit dem genannten Stellenanteil Assistenzleistungen erbracht</t>
  </si>
  <si>
    <t>VZÄ</t>
  </si>
  <si>
    <t>Probe</t>
  </si>
  <si>
    <t>Verwaltung</t>
  </si>
  <si>
    <t>Leitung vor Ort</t>
  </si>
  <si>
    <t>Leitung gesamt</t>
  </si>
  <si>
    <t xml:space="preserve">Kategorie
</t>
  </si>
  <si>
    <t xml:space="preserve">Leitung </t>
  </si>
  <si>
    <t>Gesamt</t>
  </si>
  <si>
    <t>Flächen Leitung und Verwaltung</t>
  </si>
  <si>
    <t>Fachleistungsflächen</t>
  </si>
  <si>
    <t>Wohnflächen</t>
  </si>
  <si>
    <t>Angaben zu den Flächen in qm</t>
  </si>
  <si>
    <t>Summe SK/IK</t>
  </si>
  <si>
    <t>Haustechnische Anlagen</t>
  </si>
  <si>
    <t>Betriebs- und Geschäftsausstattung</t>
  </si>
  <si>
    <t>Gebäude</t>
  </si>
  <si>
    <t>k) Abschreibungen</t>
  </si>
  <si>
    <t>Instandhaltung/Instandsetzung Betriebsausstattung und technische Anlagen</t>
  </si>
  <si>
    <t>Instandhaltung/Instandsetzung Außenanlagen</t>
  </si>
  <si>
    <t>Instandhaltung/Instandsetzung Gebäude</t>
  </si>
  <si>
    <t>Instandhaltung/Instandsetzung behinderungsbedingte Ausstattung</t>
  </si>
  <si>
    <t>Instandhaltung/Instandsetzung Räumlichkeiten</t>
  </si>
  <si>
    <t>i) Zinsen (Fremdkapital)</t>
  </si>
  <si>
    <t>Sonstige Anlagegüter</t>
  </si>
  <si>
    <t>Erbbauzinsen</t>
  </si>
  <si>
    <t>Pacht Grundstück</t>
  </si>
  <si>
    <t>Miete Mobiliar</t>
  </si>
  <si>
    <t>Miete technische Geräte</t>
  </si>
  <si>
    <t>Miete Betriebsgebäude</t>
  </si>
  <si>
    <t>h) Miete und Pacht</t>
  </si>
  <si>
    <t>Mitgliedsbeträge</t>
  </si>
  <si>
    <t>Umlagen an Verbände</t>
  </si>
  <si>
    <t>g) Steuern, Abgaben, Versicherungen</t>
  </si>
  <si>
    <t>Personalbeschaffungskosten</t>
  </si>
  <si>
    <t>Reisekosten (keine Fortbildung)</t>
  </si>
  <si>
    <t>Portokosten</t>
  </si>
  <si>
    <t>f) Verwaltungsbedarf</t>
  </si>
  <si>
    <t>Beschäftigungsmaterial</t>
  </si>
  <si>
    <t>kultureller Aufwand</t>
  </si>
  <si>
    <t>e) Betreuungsaufwand</t>
  </si>
  <si>
    <t>sonstige Kfz-Kosten</t>
  </si>
  <si>
    <t>Treibstoffe und Schmiermittel</t>
  </si>
  <si>
    <t>Toilettenartikel</t>
  </si>
  <si>
    <t>Pflege Außenanlage</t>
  </si>
  <si>
    <t>Reinigungs- und Putzmittel</t>
  </si>
  <si>
    <t>c) Wirtschaftsbedarf</t>
  </si>
  <si>
    <t>Brennstoffe</t>
  </si>
  <si>
    <t>Strom</t>
  </si>
  <si>
    <t>b) Wasser, Energie, Brennstoffe</t>
  </si>
  <si>
    <t>a) Medizinischer Bedarf</t>
  </si>
  <si>
    <t>Im Vergütungssatz der Fachleistung berücksichtigte Kosten</t>
  </si>
  <si>
    <t>Prozentuale Berücksichtigung im Vergütungssatz der Fachleistung</t>
  </si>
  <si>
    <t>Summe Gesamtkosten</t>
  </si>
  <si>
    <t>davon anteilig berücksichtigt</t>
  </si>
  <si>
    <t>Sachkosten/Investkosten gesamt</t>
  </si>
  <si>
    <t>III. V2 Sachkosten/Investkosten</t>
  </si>
  <si>
    <t>Zwischensumme I. und II.</t>
  </si>
  <si>
    <t>Summe Kosten für Leitung/Verwaltung</t>
  </si>
  <si>
    <t>II. V1 Leitung/Verwaltung</t>
  </si>
  <si>
    <t>Euro ohne Cent</t>
  </si>
  <si>
    <t>Prozentangabe</t>
  </si>
  <si>
    <t xml:space="preserve">Aufwand inkl. Gewinn- und Wagniszuschlag </t>
  </si>
  <si>
    <t>Gewinn- und Wagniszuschlag</t>
  </si>
  <si>
    <t>prospektiv 
auf Basis Gestehungskosten</t>
  </si>
  <si>
    <t>KALKULATION Version 1.2</t>
  </si>
  <si>
    <t>j) Wartung/Instandhaltung/Instandsetzung</t>
  </si>
  <si>
    <t>Gruppe</t>
  </si>
  <si>
    <t>Stufe</t>
  </si>
  <si>
    <t>Brutto-
personal-
kosten</t>
  </si>
  <si>
    <r>
      <t xml:space="preserve">Gestehungskosten im Kalenderjahr vor Verhandlungsaufforderung
</t>
    </r>
    <r>
      <rPr>
        <b/>
        <sz val="8"/>
        <rFont val="Calibri"/>
        <family val="2"/>
        <scheme val="minor"/>
      </rPr>
      <t>(vgl. § 11 Abs.2 Satz 2 LRV)</t>
    </r>
  </si>
  <si>
    <t>Gestehungskosten im Kalenderjahr vor Verhandlungsaufforderung
(vgl. § 11 Abs.2 Satz 2 LRV)</t>
  </si>
  <si>
    <t>Kalkulation BFD/FSJ:</t>
  </si>
  <si>
    <t>BFD/FSJ</t>
  </si>
  <si>
    <t>Bruttopersonalkosten (abzüglich externer Zuschüsse)</t>
  </si>
  <si>
    <r>
      <t>Bruttopersonalkosten - Gestehungskosten im Kalenderjahr vor Verhandlungsaufforderung</t>
    </r>
    <r>
      <rPr>
        <b/>
        <sz val="8"/>
        <rFont val="Calibri"/>
        <family val="2"/>
        <scheme val="minor"/>
      </rPr>
      <t xml:space="preserve"> (vgl. § 11 Abs.2 Satz 2 LRV)</t>
    </r>
  </si>
  <si>
    <t>Bruttopersonalkosten - prospektive jährliche Kosten</t>
  </si>
  <si>
    <t>I. PERSONALKOSTEN BETREUUNGSPERSONAL</t>
  </si>
  <si>
    <t>Summe Personalkosten Betreuungspersonal</t>
  </si>
  <si>
    <t>Ø</t>
  </si>
  <si>
    <t>Ø
Bruttopersonalkosten</t>
  </si>
  <si>
    <t>BFD/FSJ, Azubi Hauswirtschaft</t>
  </si>
  <si>
    <t>Summe Sachkosten/Investkosten</t>
  </si>
  <si>
    <t>Auszubildende/r</t>
  </si>
  <si>
    <t>Ø
PK AG brutto</t>
  </si>
  <si>
    <t>Im Angebot</t>
  </si>
  <si>
    <t>fiktiv</t>
  </si>
  <si>
    <t>Umlagefinanzierte Personalkosten (zB Zentralverwaltung)</t>
  </si>
  <si>
    <t>sonst. Wirtschaftsbedarf</t>
  </si>
  <si>
    <t>sonst. Verwaltungsbedarf</t>
  </si>
  <si>
    <t>sonst. Steuern, Abgaben, Versicherungen</t>
  </si>
  <si>
    <t>sonst. Miete/Pachten</t>
  </si>
  <si>
    <t>sonst. Wartung/Inst.</t>
  </si>
  <si>
    <t>sonst. Abschreibungen</t>
  </si>
  <si>
    <t xml:space="preserve">Q-Gruppe
- manuelle 
Eingabe - </t>
  </si>
  <si>
    <t>gesetzl. Vorgaben</t>
  </si>
  <si>
    <t>Phase 1</t>
  </si>
  <si>
    <t>Phase 2</t>
  </si>
  <si>
    <t>Plausi</t>
  </si>
  <si>
    <t>TS</t>
  </si>
  <si>
    <t>Tagessatz Basisleistung je Belegungstag je Klient bzw. Platz gesamt:</t>
  </si>
  <si>
    <t>FLS</t>
  </si>
  <si>
    <t>Differenz:</t>
  </si>
  <si>
    <t>Basisleistung (bei Abrechnung als Tagessatz auf Basis Menge der FLS umzurechnen)</t>
  </si>
  <si>
    <t>Betreuungsleistung</t>
  </si>
  <si>
    <t>Gesamt:</t>
  </si>
  <si>
    <t>FLS Basis</t>
  </si>
  <si>
    <t>Leitung</t>
  </si>
  <si>
    <t>Auszubildende:r</t>
  </si>
  <si>
    <t xml:space="preserve">
zum Verständnis: Auslastungs-/Gewinnkombination abweichend von 1,52%/2,48% (s.u.) individuell zu verhandeln; Risikoerhöhung/neue Risiken individuell zu verhandeln
Die Vergütung wurde auf der Basis von Gestehungskosten und dann prospektiven Gesichtspunkten ermittelt. 
Nicht näher benannte operationelle Risiken
In den zugrunde gelegten Gestehungskosten sind nicht näher benannte operationelle Risiken, die sich im Gestehungszeitraum realisiert haben, bereits berücksichtigt. 
1. Überlegung
Soweit erwartet wird, dass sich die Wirkung dieser Risiken im Vereinbarungszeitraum über allgemein (z.B. Inflation) angewandte prospektive Erwägungen hinaus verändern wird, so hat der Leistungserbringer dies gesondert und ausdrücklich dargelegt und wurde dies berücksichtigt.
Neu berücksichtigte operationelle Risiken
2. Überlegung
Es wurden im Übrigen folgende operationelle Risiken mit den ausgewiesenen Werten p.a. neu berücksichtigt:
…
...
Auslastungsrisiko als besonderes operationelles Risiko
- Die Auslastung wurde pauschal mit 98,5 Prozent ohne Bezug zur Auslastung eines Gestehungszeitraumes vereinbart. Insofern beinhaltet diese eine Gewinnchance von bis zu 1,52 % und wird zur Berücksichtigung von Wagnis/Gewinnchance ein Wert von 2,48% pauschal berücksichtigt.
oder
3. Überlegung
- Die Auslastung wurde auf der Basis der nachgewiesenen Auslastung im Gestehungszeitraum der drei letzten Jahre und prospektiver Erwägungen mit …% vereinbart. 
Zur Berücksichtigung von Wagnis/Gewinnchance wurde ein Wert von 4% pauschal berücksichtigt.
Darüber hinaus enthält die Kalkulation keine Elemente in denen erkennbar Wagnis/Gewinnchance berücksichtigt sind.</t>
  </si>
  <si>
    <t>Gewinn/Wagnis</t>
  </si>
  <si>
    <t xml:space="preserve">Abschreibungen </t>
  </si>
  <si>
    <t xml:space="preserve">Die Kosten für Wartung/Instandhaltung/Instandsetzung sind in prospektiver Höhe zu kalkulieren. </t>
  </si>
  <si>
    <t>Wartung/Instandhaltung/Instandsetzung</t>
  </si>
  <si>
    <t>Zinsen für Darlehen, die im Rahmen einer zugestimmten Maßnahme oder eines genehmigten Finanzierungsplanes zur Herstellung, Modernisierung oder Erweiterung und für die Ersterrichtung einer besonderen Wohnform geleistet werden, sind bei der Ermittlung der Vergütungen zu berücksichtigen.</t>
  </si>
  <si>
    <t>Zinsen</t>
  </si>
  <si>
    <t xml:space="preserve">Werden sonstige Anlagegüter gemietet, gepachtet oder geleast, gehen die Miet-/Pachtzinsen/Leasingkosten in die Kalkulation ein. </t>
  </si>
  <si>
    <t xml:space="preserve">Sind Miete/Pacht/Leasing zuvor dem Grunde und der Höhe nach mit dem Land abgestimmt (von diesem akzeptiert) worden, dann sind sie in der Kalkulation anzuerkennen. </t>
  </si>
  <si>
    <t>Es sind hier die Miete/Pacht/Leasing für Betriebsgebäude und –räume, für technische Geräte, für Mobiliar, Pacht für Grundstücke und Erbbauzinsen anzugeben.</t>
  </si>
  <si>
    <t>Miete/Pacht/Leasing</t>
  </si>
  <si>
    <t>nachrichtlich: Die Regelungen zum IK-Zuschlag für bisherige fördermittelersetzende Darlehen bleiben unberührt. Diese Zuschläge sind weiterhin zu aktualisieren und gesondert zu vereinbaren.</t>
  </si>
  <si>
    <t>Investitionsbetrag</t>
  </si>
  <si>
    <t>Hierzu gehören Jahresabschlusskosten, Abgaben auf Grundbesitz, Kanalgebühren,  Haftpflicht-, Unfall- und Sachversicherungen, Umlagen an Verbände / Mitgliedsbeiträge, Kfz-Steuer und Kfz-Versicherung, Rechts- und Beratungskosten.</t>
  </si>
  <si>
    <t>Steuern, Abgaben, Versicherungen</t>
  </si>
  <si>
    <r>
      <t xml:space="preserve">Hierzu gehören z.B. Reinigungs- und Putzmittel, </t>
    </r>
    <r>
      <rPr>
        <sz val="9"/>
        <color theme="1"/>
        <rFont val="Calibri"/>
        <family val="2"/>
        <scheme val="minor"/>
      </rPr>
      <t>aufgrund Gesetz oder Verordnung vorgeschriebene Arbeitskleidung</t>
    </r>
    <r>
      <rPr>
        <sz val="9"/>
        <color rgb="FF131313"/>
        <rFont val="Calibri"/>
        <family val="2"/>
        <scheme val="minor"/>
      </rPr>
      <t>, Pflege Außenanlage, Toilettenartikel, Treibstoffe und Schmiermittel, sonstige Kfz-Kosten</t>
    </r>
  </si>
  <si>
    <t>Wirtschaftsbedarf</t>
  </si>
  <si>
    <t>Hierzu gehören z.B. die Kosten für Lehr-, Lern und Arbeitsmittel, kultureller Aufwand, Spiel- und Sportgeräte, Spiel-, Beschäftigungs und Fördermaterialien</t>
  </si>
  <si>
    <t>Aufwand soziale Betreuung</t>
  </si>
  <si>
    <t>Hier sind u. a. die Kosten für Krankenpflegeartikel, Desinfektionsmittel, kleines Instrumentarium und die Hausapotheke zu berücksichtigen</t>
  </si>
  <si>
    <t>Medizinischer Bedarf</t>
  </si>
  <si>
    <t>Dienstleistungen, die durch die Beauftragung Dritter/Fremdfirmen entstehen</t>
  </si>
  <si>
    <t xml:space="preserve">Outgesourcte zentrale Dienstleistungen </t>
  </si>
  <si>
    <t>Hierzu gehören insbesondere die Kosten für Büromaterial (Drucksachen, Formulare, Schreibmaterialien, Fachzeitschriften), IT-Kosten (ohne Hardware), Telefongebühren, Kosten Internet / Telekommunikation, Portokosten, Reisekosten (keine Fortbildungskosten),  Personalbeschaffungskosten wie etwa Stellenausschreibungen, Fachzeitschriften und –bücher der Verwaltung, Kosten des Geldverkehrs.</t>
  </si>
  <si>
    <t>Verwaltungsbedarf</t>
  </si>
  <si>
    <t>Sachkosten</t>
  </si>
  <si>
    <t>Abbildung Zentralverwaltung/Fremdpersonal
- Verteilungslogik mit dem Antrag schriftlich mitteilen
- Personalkostenanteil Leitung/Verwaltung in 2a.; Rest in 2b. Zelle B37</t>
  </si>
  <si>
    <t>Stellen und Kosten (nach Abzug von Drittmitteln) für BFD, FSJ werden in V2 abgebildet.
Auszubildende in der Betreuung werden beim Betreuungspersonal eingetragen.</t>
  </si>
  <si>
    <t>- Mutterschutzfrist und Mutterschaftsurlaub (Schwangerschaftsvertretungen sind gesondert zu erfassen).</t>
  </si>
  <si>
    <t>- Im Krankheitsfalle während der Zeiten ohne Lohnfortzahlung,</t>
  </si>
  <si>
    <t>- Beginn oder Ende eines Arbeitsverhältnisses während des Betrachtungszeitraumes,</t>
  </si>
  <si>
    <t>- Teilzeitbeschäftigung,</t>
  </si>
  <si>
    <t>War für einen Mitarbeiter ein geringeres Jahresbrutto zu zahlen, als dies für eine Vollzeitbeschäftigung angefallen wäre, so ist er nur mit dem Vollzeitbeschäftigten-Bruchteil nachzuweisen, der dem Verhältnis seines tatsächlichen Beschäftigungsumfanges zu einer Vollzeitbeschäftigung entspricht (z.B. 0,5). Gründe hierfür können sein:</t>
  </si>
  <si>
    <t>Fremdpersonal wird je nach Funktion (Betreuung, Leitung/Verwaltung, Wirtschhaftspersonal) entsprechend abgebildet. 
Soweit ein zeitlicher Umfang der Arbeit festgelegt ist, ergibt sich das VK-Äquivalent daraus und können die Kosten der Fremdbeauftragung entsprechend zugeordnet werden. (Rechenbeispiel: ...)
Wird ein Arbeitsergebnis vergütet, so ist das VK-Äquivalent anhand der Kosten der Fremdbeauftragung orientiert an den Kosten einer alternativ fest beschäftigten Kraft zu ermitteln. (Rechenbeispiel: ...)</t>
  </si>
  <si>
    <t xml:space="preserve">Vollzeitbeschäftigte sind Mitarbeiter, denen für das ganze Jahr die Vergütung für die tariflich oder einzelvertraglich vereinbarte Arbeitszeit für eine volle Stelle gezahlt wurde. Sie sind mit dem Wert 1,0 (volle Stelle) nachzuweisen. </t>
  </si>
  <si>
    <t>Diese Eingaben werden auf zwei Stellen nach dem Komma gerundet angegeben.</t>
  </si>
  <si>
    <t>Stellen in Vollzeitäquivalente (VZÄ)</t>
  </si>
  <si>
    <t>Personalkosten</t>
  </si>
  <si>
    <t>In der kalkulation der einzelnen Angebote sind nur die Kostenbestandteile des jeweiligen Angebotes zu berücksichtigen!</t>
  </si>
  <si>
    <r>
      <rPr>
        <b/>
        <u/>
        <sz val="9"/>
        <color theme="1"/>
        <rFont val="Calibri"/>
        <family val="2"/>
        <scheme val="minor"/>
      </rPr>
      <t>Hinweis für die Leistungen in TS/TF und außerhalb besonderer Wohnformen:</t>
    </r>
    <r>
      <rPr>
        <sz val="9"/>
        <color theme="1"/>
        <rFont val="Calibri"/>
        <family val="2"/>
        <scheme val="minor"/>
      </rPr>
      <t xml:space="preserve">
Für die Leistungen außerhalb besonderer Wohnformen sind die Prozentsätze im Kalkulationsblatt „V2 SK u. IK“ auf 100 % zu setzen.</t>
    </r>
  </si>
  <si>
    <t>Die prozentualen Anteile der Kosten für die Fachleistungsfläche sind je nach Angebotsform anzupassen (vgl. § 30 Abs. 3 LRV)</t>
  </si>
  <si>
    <t>Das angegebene Personal ist mit den jeweiligen Stellenanteilen dem Betreuungspersonal und/oder dem Zuschlag V2 SK/IK zuzuordnen</t>
  </si>
  <si>
    <t>Bitte auswählen:</t>
  </si>
  <si>
    <t>Abrechnungstage:</t>
  </si>
  <si>
    <t>In den Tabellenblättern 2.bis 2b. jeweils beim Personal angeben</t>
  </si>
  <si>
    <t>2.1</t>
  </si>
  <si>
    <t>1. Übersicht</t>
  </si>
  <si>
    <t>Zelle B4</t>
  </si>
  <si>
    <t>5. Gesamt</t>
  </si>
  <si>
    <t>Zelle D11</t>
  </si>
  <si>
    <t>Zelle B12</t>
  </si>
  <si>
    <t>"Abrechnungstage" statt "Tage/Klient"</t>
  </si>
  <si>
    <t>Als Prozent formatiert</t>
  </si>
  <si>
    <t>6. Gesamt</t>
  </si>
  <si>
    <t>Zelle N42</t>
  </si>
  <si>
    <t>Plausibilitätsprüfung</t>
  </si>
  <si>
    <r>
      <t xml:space="preserve">Gestehungskosten
im Kalenderjahr vor Verhandlungsaufforderung
</t>
    </r>
    <r>
      <rPr>
        <b/>
        <sz val="8"/>
        <rFont val="Calibri"/>
        <family val="2"/>
        <scheme val="minor"/>
      </rPr>
      <t>(vgl. § 11 Abs.2 Satz 2 LRV)</t>
    </r>
  </si>
  <si>
    <t>prospektive
 jährliche Kosten</t>
  </si>
  <si>
    <t>Blatt</t>
  </si>
  <si>
    <t>Zellen</t>
  </si>
  <si>
    <t>2- -2b.</t>
  </si>
  <si>
    <t>Farben angepasst</t>
  </si>
  <si>
    <t>Schicht 3</t>
  </si>
  <si>
    <t>Schicht 4</t>
  </si>
  <si>
    <t>Schicht 5</t>
  </si>
  <si>
    <t>3a.</t>
  </si>
  <si>
    <t>Auf 5 Schichten erweitert</t>
  </si>
  <si>
    <t>Farbe verändert und Erläuterung eingegeben</t>
  </si>
  <si>
    <t>N32</t>
  </si>
  <si>
    <t>Fehlermeldung überarbeitet (IST-IST-Abgleich, statt vorher IST-SOLL-Abgleich)</t>
  </si>
  <si>
    <t>Summenbildung korrigiert</t>
  </si>
  <si>
    <t>2.3</t>
  </si>
  <si>
    <t>Abrechnungstage/Klient:</t>
  </si>
  <si>
    <t>B10</t>
  </si>
  <si>
    <t>Text geändert von Tage auf Abrechnungstage</t>
  </si>
  <si>
    <t>2.4</t>
  </si>
  <si>
    <t>2b.</t>
  </si>
  <si>
    <t>E81</t>
  </si>
  <si>
    <r>
      <t>geändert 
von x=RUNDEN(((C82*D82)+(C83*D83)+(C84*D84))</t>
    </r>
    <r>
      <rPr>
        <sz val="12"/>
        <color rgb="FFFF0000"/>
        <rFont val="Calibri (Textkörper)"/>
      </rPr>
      <t>*</t>
    </r>
    <r>
      <rPr>
        <sz val="12"/>
        <color theme="1"/>
        <rFont val="Calibri"/>
        <family val="2"/>
        <scheme val="minor"/>
      </rPr>
      <t>(C85*D85);2) 
zu =RUNDEN(((C82*D82)+(C83*D83)+(C84*D84))</t>
    </r>
    <r>
      <rPr>
        <sz val="12"/>
        <color rgb="FFFF0000"/>
        <rFont val="Calibri (Textkörper)"/>
      </rPr>
      <t>+</t>
    </r>
    <r>
      <rPr>
        <sz val="12"/>
        <color theme="1"/>
        <rFont val="Calibri"/>
        <family val="2"/>
        <scheme val="minor"/>
      </rPr>
      <t>(C85*D85);2)</t>
    </r>
  </si>
  <si>
    <t>fehlende Formel "=C47*D47" eingesetzt</t>
  </si>
  <si>
    <t>E47</t>
  </si>
  <si>
    <t>G, J, K141</t>
  </si>
  <si>
    <t>Summe bis Zelle 139 statt vorher 55</t>
  </si>
  <si>
    <t>2.</t>
  </si>
  <si>
    <t>Formeln überarbeitet</t>
  </si>
  <si>
    <t>Tagessatz individuelle Leistung (Assistenzpersonal)</t>
  </si>
  <si>
    <t>Zelle B22</t>
  </si>
  <si>
    <t>Zelle B23</t>
  </si>
  <si>
    <t>Zelle C23</t>
  </si>
  <si>
    <t>Text konkretisiert</t>
  </si>
  <si>
    <t>neu: Text in Abgrenzung/Ergänzung zu Zelle B22</t>
  </si>
  <si>
    <t>neu: Zusätzliche Information</t>
  </si>
  <si>
    <t>verschoben nach F120</t>
  </si>
  <si>
    <t>Zelle F118</t>
  </si>
  <si>
    <t>Zelle G119</t>
  </si>
  <si>
    <t>Zellen F119-120</t>
  </si>
  <si>
    <t>neu: Text</t>
  </si>
  <si>
    <t>B4-H10</t>
  </si>
  <si>
    <t>2.5</t>
  </si>
  <si>
    <t>Zelle I14</t>
  </si>
  <si>
    <t>In der Formel I statt F</t>
  </si>
  <si>
    <t>Zelle I15</t>
  </si>
  <si>
    <t>Formel um Rundungsfunktion ergänzt</t>
  </si>
  <si>
    <t>2.6</t>
  </si>
  <si>
    <t>B5-F5, B10-F10</t>
  </si>
  <si>
    <t>Formelfehler behoben</t>
  </si>
  <si>
    <t>2.7</t>
  </si>
  <si>
    <t>"G 10" durch "G5" ersetzt</t>
  </si>
  <si>
    <t>Büro- und Verwaltungsbedarf</t>
  </si>
  <si>
    <t>Aus- , Fort- und Weiterbildung</t>
  </si>
  <si>
    <t>BG, Arbeitsschutz</t>
  </si>
  <si>
    <t>Wasser, Abwasser und Oberflächenwasser</t>
  </si>
  <si>
    <t>Internet / Telefon / Anschlussgebühren etc.</t>
  </si>
  <si>
    <t>IT-Kosten (ohne Hardware), Software, Gebühren, Lizenzen, etc.)</t>
  </si>
  <si>
    <t>externe</t>
  </si>
  <si>
    <t>Gebäudekosten (Steuern, Versicherung, Gebühren)</t>
  </si>
  <si>
    <t>Verwaltung gesamt</t>
  </si>
  <si>
    <t>Verwaltung vor Ort</t>
  </si>
  <si>
    <t>2b V2 Sk u IK
Outgesourcte/zentrale Dienstleistungen</t>
  </si>
  <si>
    <t>externe Beratungskosten</t>
  </si>
  <si>
    <t>externe gesetzliche Beauftragte</t>
  </si>
  <si>
    <t>d) Outgesourcte/zentrale Dienstleistungen (siehe Zeile 74 ff.)</t>
  </si>
  <si>
    <t>Zone 5</t>
  </si>
  <si>
    <t>Zone 4</t>
  </si>
  <si>
    <t>Zone 3</t>
  </si>
  <si>
    <t>Zone 2</t>
  </si>
  <si>
    <t>Zone 1</t>
  </si>
  <si>
    <t>Mittelwert
Zone
Minuten</t>
  </si>
  <si>
    <t>FLS:</t>
  </si>
  <si>
    <t>Anteil 
%</t>
  </si>
  <si>
    <t>Q-
Gruppen</t>
  </si>
  <si>
    <t>Preis 
FLS</t>
  </si>
  <si>
    <t>&gt;20 bis 25 Minuten</t>
  </si>
  <si>
    <t>&gt;15 bis 20 Minuten</t>
  </si>
  <si>
    <t>&gt;10 bis 15 Minuten</t>
  </si>
  <si>
    <t>&gt;5 bis 10 Minuten</t>
  </si>
  <si>
    <t>= 0 bis 5 Minuten</t>
  </si>
  <si>
    <t>Definition Zonen</t>
  </si>
  <si>
    <t>Zone</t>
  </si>
  <si>
    <t>Bezeichnung</t>
  </si>
  <si>
    <t>Effizienz:</t>
  </si>
  <si>
    <t>Hier angebotsindividuelle Angaben/Einträge erforderlich.</t>
  </si>
  <si>
    <t>Standardwerte gemäß Vereinbarung der Parteien.</t>
  </si>
  <si>
    <t>Systematik der Ermittlung der Wegepauschale (weitere Zonen denkbar).
Jenseits vereinbarter Zonen Abrechnung auf Basis der vereinbarten Fachleistungsstundensätze.</t>
  </si>
  <si>
    <t>Trägerumlage Sachkosten</t>
  </si>
  <si>
    <r>
      <t xml:space="preserve">Gestehungskosten Gesamt im Kalenderjahr vor Verhandlungsaufforderung
</t>
    </r>
    <r>
      <rPr>
        <b/>
        <sz val="8"/>
        <rFont val="Calibri"/>
        <family val="2"/>
        <scheme val="minor"/>
      </rPr>
      <t>(vgl. § 11 Abs.2 Satz 2 LRV)</t>
    </r>
  </si>
  <si>
    <r>
      <t xml:space="preserve">Gestehungskosten Anteilig für dieses Leistungsangebot im Kalenderjahr vor Verhandlungsaufforderung
</t>
    </r>
    <r>
      <rPr>
        <b/>
        <sz val="8"/>
        <rFont val="Calibri"/>
        <family val="2"/>
        <scheme val="minor"/>
      </rPr>
      <t>(vgl. § 11 Abs.2 Satz 2 LRV)</t>
    </r>
  </si>
  <si>
    <t>prozentuale Verteilung</t>
  </si>
  <si>
    <t>prospektive jährliche Gesamtkosten</t>
  </si>
  <si>
    <t>prospektive jährliche Kosten Anteilig</t>
  </si>
  <si>
    <t>Kostenart</t>
  </si>
  <si>
    <t>Kosten</t>
  </si>
  <si>
    <t>Gliederungspunkte der SK</t>
  </si>
  <si>
    <t>a) - k)</t>
  </si>
  <si>
    <t>Hier sind die Kosten Arbeitnehmerbrutto plus Jahressonderzahlung plus Arbeitgeberanteil einzutragen</t>
  </si>
  <si>
    <t>2a. V1 LTG-VW</t>
  </si>
  <si>
    <t xml:space="preserve">Hier sind in die einzelnen Kostenpositionen und Kosten entsprechend der Zuordnung einzutragen.
Gesetzlich Beauftragt wie: Personalrat, Schwerbehindertenvertretung, Brandschutz-/Datenschutzbeauftragte (sofern nicht durch eine externe Dienstleistung oder in der Trägerumlage Sachkosten berücksichtigt) etc. sind hier einzutragen. </t>
  </si>
  <si>
    <t>Trägerumlage Sachkosten (siehe Zeile 107 ff.)</t>
  </si>
  <si>
    <t>Wasser, Abwasser und Oberflächenwasser, Energie, Brennstoffe</t>
  </si>
  <si>
    <t xml:space="preserve">Hierzu gehören auch die Kosten für Gas und Heizöl. Nicht zu diesen Kosten gehören die Treibstoffekosten (= Wirtschaftsbedarf) </t>
  </si>
  <si>
    <t>Hier ist eine Aufteilung vergleichbar der Sachkosten 2b. V2 SK u. IK vorzunehmen und im ersten Schritt ledliglich "Obergruppen" zu bilden. Eine detailierte Aufzählung kann im Rahmen einer Verhandlung nachgefordert werden. Die Aufzählungen können beliebig erweitert werden.</t>
  </si>
  <si>
    <t>Anteil PK</t>
  </si>
  <si>
    <t>Anteil SK</t>
  </si>
  <si>
    <t>1. Fortschreibung</t>
  </si>
  <si>
    <t>2. Fortschreibung</t>
  </si>
  <si>
    <t>Sachkostensteigerung</t>
  </si>
  <si>
    <t>1. Sachkostensteigerung</t>
  </si>
  <si>
    <t>1. Personalkostensteigerung</t>
  </si>
  <si>
    <t>Aufteilung PK/SK</t>
  </si>
  <si>
    <t>2. Sachkostensteigerung</t>
  </si>
  <si>
    <t>2. Personalkostensteigerung</t>
  </si>
  <si>
    <t>Berücksichtigung SK</t>
  </si>
  <si>
    <t>Berücksichtigung PK</t>
  </si>
  <si>
    <t>Assistenzpersonal</t>
  </si>
  <si>
    <t xml:space="preserve"> </t>
  </si>
  <si>
    <t>2.8</t>
  </si>
  <si>
    <t>"Hilfe"</t>
  </si>
  <si>
    <t>Wurde entfernt</t>
  </si>
  <si>
    <t>B23-C23</t>
  </si>
  <si>
    <t>Spalte C "Tätigkeit" Leeres Auswahlfeld für weitere Angaben Trägerumlage ergänzt</t>
  </si>
  <si>
    <t>2a. V1 LTG_VW</t>
  </si>
  <si>
    <t>2b. V2 SK u. IK</t>
  </si>
  <si>
    <t>A2-E89</t>
  </si>
  <si>
    <t>Neufassung Sach- und Investkosten</t>
  </si>
  <si>
    <t>Kalkulation: Wirtschaftsdienst, externe Beratungskosten, externe gesetzliche Beauftragte</t>
  </si>
  <si>
    <t>A107-H117/B26-C26</t>
  </si>
  <si>
    <t>Neues Eintragungsfeld für SK u. IK der Trägerumlage, automatische Übernahme der Kosten in B26/C26</t>
  </si>
  <si>
    <t>B16-I18</t>
  </si>
  <si>
    <t>Felder dupliziert, Übernahme Werte aus Blatt 5. ("Gesamt")</t>
  </si>
  <si>
    <t>B30-L42</t>
  </si>
  <si>
    <t>Eintragungsfelder Vorhalteleistugen dupliziert</t>
  </si>
  <si>
    <t>B117-L158</t>
  </si>
  <si>
    <t>Berechnung Leistungsvolumen Vorhalteleistungen dupliziert</t>
  </si>
  <si>
    <t>I176</t>
  </si>
  <si>
    <t>Formel inkludiert Gesamtvolumen aus I129/I143/I157</t>
  </si>
  <si>
    <t>5a. Kostenblatt</t>
  </si>
  <si>
    <t>H3-O20</t>
  </si>
  <si>
    <t>Berechnung Fortschreibung Personalkosten/SK u. IK eingefügt</t>
  </si>
  <si>
    <t xml:space="preserve">Neu "Anlage 19 - Wegezeiten" </t>
  </si>
  <si>
    <t>Anlage 19 in Anlage 20 inkludiert, automatische Übernahme ermittelter Werte</t>
  </si>
  <si>
    <t>Neu "Personalübersicht"</t>
  </si>
  <si>
    <t>Übersicht über Stellenanteile Q-Gruppen aus 5. ("Gesamt") ohne errechnete FLS/Tagessätze</t>
  </si>
  <si>
    <t>Zellen werden für</t>
  </si>
  <si>
    <t>Phase 2 individuell</t>
  </si>
  <si>
    <t>befüllbar sein.</t>
  </si>
  <si>
    <t>Zellen werden</t>
  </si>
  <si>
    <t xml:space="preserve">in Phase 2 </t>
  </si>
  <si>
    <t>ausgewiesen</t>
  </si>
  <si>
    <t>Bitte Klienten den Zonen gemäß Anfahrtsdauer der Adresse zuordnen.
Anfahrtsdauer prüffähig</t>
  </si>
  <si>
    <t>(dokumentiert=Ausdruck zur Klientenakte) mit googlemaps o.ä. ermitteln.</t>
  </si>
  <si>
    <r>
      <t xml:space="preserve">Von dem hier berücksichtigten Personal werden mit dem genannten Stellenanteil </t>
    </r>
    <r>
      <rPr>
        <b/>
        <u/>
        <sz val="12"/>
        <color rgb="FFC00000"/>
        <rFont val="Calibri"/>
        <family val="2"/>
        <scheme val="minor"/>
      </rPr>
      <t>KEINE</t>
    </r>
    <r>
      <rPr>
        <b/>
        <sz val="12"/>
        <color rgb="FFC00000"/>
        <rFont val="Calibri"/>
        <family val="2"/>
        <scheme val="minor"/>
      </rPr>
      <t xml:space="preserve"> Assistenzleistungen erbracht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</si>
</sst>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hh]:mm"/>
    <numFmt numFmtId="168" formatCode="_-* #,##0.00\ [$€-407]_-;\-* #,##0.00\ [$€-407]_-;_-* &quot;-&quot;??\ [$€-407]_-;_-@_-"/>
    <numFmt numFmtId="169" formatCode="_-* #,##0\ [$€-407]_-;\-* #,##0\ [$€-407]_-;_-* &quot;-&quot;??\ [$€-407]_-;_-@_-"/>
    <numFmt numFmtId="170" formatCode="#,##0.00\ &quot;€&quot;"/>
    <numFmt numFmtId="171" formatCode="#,##0.0"/>
  </numFmts>
  <fonts count="55">
    <font>
      <sz val="12"/>
      <color theme="1"/>
      <name val="Calibri"/>
      <family val="2"/>
      <scheme val="minor"/>
    </font>
    <font>
      <sz val="12"/>
      <color theme="3" tint="-0.249977111117893"/>
      <name val="Calibri"/>
      <family val="2"/>
      <scheme val="minor"/>
    </font>
    <font>
      <sz val="8"/>
      <name val="Calibri"/>
      <family val="2"/>
      <scheme val="minor"/>
    </font>
    <font>
      <sz val="18"/>
      <color theme="1"/>
      <name val="Calibri"/>
      <family val="2"/>
      <scheme val="minor"/>
    </font>
    <font>
      <sz val="10"/>
      <color theme="1"/>
      <name val="Calibri"/>
      <family val="2"/>
      <scheme val="minor"/>
    </font>
    <font>
      <u/>
      <sz val="12"/>
      <color theme="1"/>
      <name val="Calibri (Textkörper)"/>
    </font>
    <font>
      <b/>
      <sz val="12"/>
      <color theme="1"/>
      <name val="Calibri"/>
      <family val="2"/>
      <scheme val="minor"/>
    </font>
    <font>
      <sz val="11"/>
      <color theme="1"/>
      <name val="Arial"/>
      <family val="2"/>
    </font>
    <font>
      <sz val="12"/>
      <color theme="1"/>
      <name val="Calibri"/>
      <family val="2"/>
      <scheme val="minor"/>
    </font>
    <font>
      <sz val="12"/>
      <color rgb="FFFF0000"/>
      <name val="Calibri"/>
      <family val="2"/>
      <scheme val="minor"/>
    </font>
    <font>
      <b/>
      <sz val="14"/>
      <color theme="1"/>
      <name val="Calibri"/>
      <family val="2"/>
      <scheme val="minor"/>
    </font>
    <font>
      <sz val="7"/>
      <color theme="1"/>
      <name val="Times New Roman"/>
      <family val="1"/>
    </font>
    <font>
      <sz val="8"/>
      <color theme="1"/>
      <name val="Calibri"/>
      <family val="2"/>
      <scheme val="minor"/>
    </font>
    <font>
      <sz val="8"/>
      <color rgb="FFFF0000"/>
      <name val="Calibri"/>
      <family val="2"/>
      <scheme val="minor"/>
    </font>
    <font>
      <sz val="12"/>
      <name val="Calibri"/>
      <family val="2"/>
      <scheme val="minor"/>
    </font>
    <font>
      <sz val="10"/>
      <name val="Arial"/>
      <family val="2"/>
    </font>
    <font>
      <b/>
      <sz val="12"/>
      <color rgb="FFFF0000"/>
      <name val="Calibri"/>
      <family val="2"/>
      <scheme val="minor"/>
    </font>
    <font>
      <b/>
      <sz val="12"/>
      <name val="Calibri"/>
      <family val="2"/>
      <scheme val="minor"/>
    </font>
    <font>
      <b/>
      <sz val="9"/>
      <color rgb="FF000000"/>
      <name val="Segoe UI"/>
      <family val="2"/>
      <charset val="1"/>
    </font>
    <font>
      <sz val="9"/>
      <color rgb="FF000000"/>
      <name val="Segoe UI"/>
      <family val="2"/>
      <charset val="1"/>
    </font>
    <font>
      <sz val="11"/>
      <color rgb="FF000000"/>
      <name val="Segoe UI"/>
      <family val="2"/>
      <charset val="1"/>
    </font>
    <font>
      <sz val="10"/>
      <color rgb="FF000000"/>
      <name val="Segoe UI"/>
      <family val="2"/>
      <charset val="1"/>
    </font>
    <font>
      <b/>
      <sz val="10"/>
      <name val="Calibri"/>
      <family val="2"/>
      <scheme val="minor"/>
    </font>
    <font>
      <b/>
      <sz val="11"/>
      <name val="Calibri"/>
      <family val="2"/>
      <scheme val="minor"/>
    </font>
    <font>
      <sz val="11"/>
      <name val="Calibri"/>
      <family val="2"/>
      <scheme val="minor"/>
    </font>
    <font>
      <sz val="10"/>
      <name val="Calibri"/>
      <family val="2"/>
      <scheme val="minor"/>
    </font>
    <font>
      <b/>
      <sz val="8"/>
      <name val="Calibri"/>
      <family val="2"/>
      <scheme val="minor"/>
    </font>
    <font>
      <b/>
      <sz val="10"/>
      <color theme="1"/>
      <name val="Calibri"/>
      <family val="2"/>
      <scheme val="minor"/>
    </font>
    <font>
      <b/>
      <sz val="9"/>
      <name val="Calibri"/>
      <family val="2"/>
      <scheme val="minor"/>
    </font>
    <font>
      <sz val="14"/>
      <name val="Calibri"/>
      <family val="2"/>
      <scheme val="minor"/>
    </font>
    <font>
      <sz val="10"/>
      <color rgb="FFFF0000"/>
      <name val="Calibri"/>
      <family val="2"/>
      <scheme val="minor"/>
    </font>
    <font>
      <strike/>
      <sz val="8"/>
      <name val="Calibri"/>
      <family val="2"/>
      <scheme val="minor"/>
    </font>
    <font>
      <strike/>
      <sz val="10"/>
      <name val="Calibri"/>
      <family val="2"/>
      <scheme val="minor"/>
    </font>
    <font>
      <b/>
      <sz val="6"/>
      <name val="Calibri"/>
      <family val="2"/>
      <scheme val="minor"/>
    </font>
    <font>
      <b/>
      <sz val="10"/>
      <color rgb="FFFF0000"/>
      <name val="Calibri"/>
      <family val="2"/>
      <scheme val="minor"/>
    </font>
    <font>
      <u/>
      <sz val="12"/>
      <color theme="10"/>
      <name val="Calibri"/>
      <family val="2"/>
      <scheme val="minor"/>
    </font>
    <font>
      <b/>
      <sz val="10"/>
      <color rgb="FF131313"/>
      <name val="Calibri"/>
      <family val="2"/>
      <scheme val="minor"/>
    </font>
    <font>
      <sz val="9"/>
      <color rgb="FFFF0000"/>
      <name val="Calibri"/>
      <family val="2"/>
      <scheme val="minor"/>
    </font>
    <font>
      <b/>
      <sz val="9"/>
      <color rgb="FF131313"/>
      <name val="Calibri"/>
      <family val="2"/>
      <scheme val="minor"/>
    </font>
    <font>
      <sz val="9"/>
      <color rgb="FF131313"/>
      <name val="Calibri"/>
      <family val="2"/>
      <scheme val="minor"/>
    </font>
    <font>
      <u/>
      <sz val="9"/>
      <color rgb="FF131313"/>
      <name val="Calibri"/>
      <family val="2"/>
      <scheme val="minor"/>
    </font>
    <font>
      <sz val="9"/>
      <name val="Calibri (Textkörper)"/>
    </font>
    <font>
      <sz val="9"/>
      <color theme="1"/>
      <name val="Calibri"/>
      <family val="2"/>
      <scheme val="minor"/>
    </font>
    <font>
      <sz val="9"/>
      <name val="Calibri"/>
      <family val="2"/>
      <scheme val="minor"/>
    </font>
    <font>
      <sz val="9"/>
      <color theme="1"/>
      <name val="Arial"/>
      <family val="2"/>
    </font>
    <font>
      <b/>
      <sz val="9"/>
      <color theme="1"/>
      <name val="Calibri"/>
      <family val="2"/>
      <scheme val="minor"/>
    </font>
    <font>
      <b/>
      <u/>
      <sz val="9"/>
      <color theme="1"/>
      <name val="Calibri"/>
      <family val="2"/>
      <scheme val="minor"/>
    </font>
    <font>
      <sz val="12"/>
      <color rgb="FFFF0000"/>
      <name val="Calibri (Textkörper)"/>
    </font>
    <font>
      <strike/>
      <sz val="10"/>
      <color rgb="FFFF0000"/>
      <name val="Calibri"/>
      <family val="2"/>
      <scheme val="minor"/>
    </font>
    <font>
      <b/>
      <sz val="16"/>
      <color theme="1"/>
      <name val="Calibri"/>
      <family val="2"/>
      <scheme val="minor"/>
    </font>
    <font>
      <b/>
      <sz val="12"/>
      <color rgb="FFC00000"/>
      <name val="Calibri"/>
      <family val="2"/>
      <scheme val="minor"/>
    </font>
    <font>
      <b/>
      <u/>
      <sz val="12"/>
      <color rgb="FFC00000"/>
      <name val="Calibri"/>
      <family val="2"/>
      <scheme val="minor"/>
    </font>
    <font>
      <sz val="12"/>
      <color rgb="FFC00000"/>
      <name val="Calibri"/>
      <family val="2"/>
      <scheme val="minor"/>
    </font>
    <font>
      <sz val="8"/>
      <color rgb="FFC00000"/>
      <name val="Calibri"/>
      <family val="2"/>
      <scheme val="minor"/>
    </font>
    <font>
      <sz val="9"/>
      <color rgb="FFC00000"/>
      <name val="Calibri"/>
      <family val="2"/>
      <scheme val="minor"/>
    </font>
  </fonts>
  <fills count="23">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rgb="FFCCFFCC"/>
        <bgColor indexed="64"/>
      </patternFill>
    </fill>
    <fill>
      <patternFill patternType="solid">
        <fgColor theme="0" tint="-0.249977111117893"/>
        <bgColor indexed="64"/>
      </patternFill>
    </fill>
    <fill>
      <patternFill patternType="solid">
        <fgColor theme="0"/>
        <bgColor indexed="64"/>
      </patternFill>
    </fill>
    <fill>
      <patternFill patternType="solid">
        <fgColor indexed="47"/>
        <bgColor indexed="64"/>
      </patternFill>
    </fill>
    <fill>
      <patternFill patternType="solid">
        <fgColor indexed="43"/>
        <bgColor indexed="64"/>
      </patternFill>
    </fill>
    <fill>
      <patternFill patternType="solid">
        <fgColor theme="9" tint="0.39997558519241921"/>
        <bgColor indexed="64"/>
      </patternFill>
    </fill>
    <fill>
      <patternFill patternType="solid">
        <fgColor indexed="42"/>
        <bgColor indexed="64"/>
      </patternFill>
    </fill>
    <fill>
      <patternFill patternType="solid">
        <fgColor indexed="2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0"/>
      </right>
      <top/>
      <bottom style="thin">
        <color theme="0"/>
      </bottom>
      <diagonal/>
    </border>
    <border>
      <left/>
      <right style="thin">
        <color indexed="64"/>
      </right>
      <top/>
      <bottom/>
      <diagonal/>
    </border>
    <border>
      <left style="thin">
        <color indexed="64"/>
      </left>
      <right style="thin">
        <color indexed="64"/>
      </right>
      <top style="double">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top style="double">
        <color indexed="64"/>
      </top>
      <bottom style="thick">
        <color indexed="64"/>
      </bottom>
      <diagonal/>
    </border>
    <border>
      <left/>
      <right style="thin">
        <color indexed="64"/>
      </right>
      <top style="double">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top style="thick">
        <color indexed="64"/>
      </top>
      <bottom style="thin">
        <color indexed="64"/>
      </bottom>
      <diagonal/>
    </border>
    <border>
      <left/>
      <right/>
      <top style="thick">
        <color indexed="64"/>
      </top>
      <bottom style="thick">
        <color indexed="64"/>
      </bottom>
      <diagonal/>
    </border>
    <border>
      <left/>
      <right/>
      <top style="thick">
        <color indexed="64"/>
      </top>
      <bottom/>
      <diagonal/>
    </border>
    <border>
      <left/>
      <right/>
      <top style="thin">
        <color indexed="64"/>
      </top>
      <bottom/>
      <diagonal/>
    </border>
    <border>
      <left style="thin">
        <color indexed="64"/>
      </left>
      <right/>
      <top style="thick">
        <color indexed="64"/>
      </top>
      <bottom/>
      <diagonal/>
    </border>
    <border>
      <left/>
      <right style="thin">
        <color indexed="64"/>
      </right>
      <top style="thick">
        <color indexed="64"/>
      </top>
      <bottom/>
      <diagonal/>
    </border>
    <border>
      <left/>
      <right/>
      <top/>
      <bottom style="thin">
        <color indexed="64"/>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8">
    <xf numFmtId="0" fontId="0" fillId="0" borderId="0"/>
    <xf numFmtId="9" fontId="8" fillId="0" borderId="0" applyFont="0" applyFill="0" applyBorder="0" applyAlignment="0" applyProtection="0"/>
    <xf numFmtId="0" fontId="8" fillId="0" borderId="0"/>
    <xf numFmtId="0" fontId="15" fillId="0" borderId="0"/>
    <xf numFmtId="44"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35" fillId="0" borderId="0" applyNumberFormat="0" applyFill="0" applyBorder="0" applyAlignment="0" applyProtection="0"/>
  </cellStyleXfs>
  <cellXfs count="658">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2" borderId="1" xfId="0" applyFill="1" applyBorder="1"/>
    <xf numFmtId="0" fontId="0" fillId="2" borderId="1" xfId="0" applyFill="1" applyBorder="1" applyAlignment="1">
      <alignment horizontal="center"/>
    </xf>
    <xf numFmtId="3" fontId="0" fillId="0" borderId="1" xfId="0" applyNumberFormat="1" applyBorder="1"/>
    <xf numFmtId="0" fontId="0" fillId="0" borderId="5" xfId="0" applyBorder="1"/>
    <xf numFmtId="3" fontId="0" fillId="0" borderId="0" xfId="0" applyNumberFormat="1"/>
    <xf numFmtId="4" fontId="0" fillId="0" borderId="0" xfId="0" applyNumberFormat="1"/>
    <xf numFmtId="0" fontId="0" fillId="0" borderId="8" xfId="0" applyBorder="1"/>
    <xf numFmtId="4" fontId="0" fillId="0" borderId="1" xfId="0" applyNumberFormat="1" applyBorder="1"/>
    <xf numFmtId="0" fontId="0" fillId="0" borderId="0" xfId="0" applyAlignment="1">
      <alignment horizontal="right"/>
    </xf>
    <xf numFmtId="0" fontId="0" fillId="2" borderId="1" xfId="0" applyFill="1" applyBorder="1" applyAlignment="1">
      <alignment horizontal="center" wrapText="1"/>
    </xf>
    <xf numFmtId="0" fontId="0" fillId="0" borderId="0" xfId="0" quotePrefix="1" applyAlignment="1">
      <alignment horizontal="center"/>
    </xf>
    <xf numFmtId="3" fontId="0" fillId="0" borderId="8" xfId="0" applyNumberFormat="1" applyBorder="1"/>
    <xf numFmtId="0" fontId="0" fillId="0" borderId="9" xfId="0" applyBorder="1"/>
    <xf numFmtId="3" fontId="0" fillId="6" borderId="1" xfId="0" applyNumberFormat="1" applyFill="1" applyBorder="1"/>
    <xf numFmtId="4" fontId="0" fillId="4" borderId="1" xfId="0" applyNumberFormat="1" applyFill="1" applyBorder="1"/>
    <xf numFmtId="3" fontId="0" fillId="4" borderId="1" xfId="0" applyNumberFormat="1" applyFill="1" applyBorder="1"/>
    <xf numFmtId="0" fontId="0" fillId="0" borderId="5" xfId="0" applyBorder="1" applyAlignment="1">
      <alignment horizontal="center"/>
    </xf>
    <xf numFmtId="165" fontId="0" fillId="0" borderId="0" xfId="0" applyNumberFormat="1"/>
    <xf numFmtId="0" fontId="0" fillId="0" borderId="0" xfId="0" applyAlignment="1">
      <alignment wrapText="1"/>
    </xf>
    <xf numFmtId="0" fontId="4" fillId="0" borderId="1" xfId="0" applyFont="1" applyBorder="1"/>
    <xf numFmtId="0" fontId="0" fillId="0" borderId="1" xfId="0" applyBorder="1" applyAlignment="1">
      <alignment horizontal="center" wrapText="1"/>
    </xf>
    <xf numFmtId="0" fontId="0" fillId="0" borderId="0" xfId="0" applyAlignment="1">
      <alignment horizontal="left" vertical="top" wrapText="1"/>
    </xf>
    <xf numFmtId="4" fontId="0" fillId="0" borderId="1" xfId="0" applyNumberFormat="1" applyBorder="1" applyAlignment="1">
      <alignment horizontal="center"/>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7" fillId="0" borderId="0" xfId="0" applyFont="1" applyAlignment="1">
      <alignment horizontal="justify" vertical="center"/>
    </xf>
    <xf numFmtId="3" fontId="0" fillId="0" borderId="9" xfId="0" applyNumberFormat="1" applyBorder="1"/>
    <xf numFmtId="0" fontId="6" fillId="9" borderId="1" xfId="0" applyFont="1" applyFill="1" applyBorder="1"/>
    <xf numFmtId="4" fontId="6" fillId="9" borderId="1" xfId="0" applyNumberFormat="1" applyFont="1" applyFill="1" applyBorder="1"/>
    <xf numFmtId="0" fontId="3" fillId="0" borderId="0" xfId="0" applyFont="1"/>
    <xf numFmtId="3" fontId="0" fillId="6" borderId="1" xfId="0" applyNumberFormat="1" applyFill="1" applyBorder="1" applyAlignment="1">
      <alignment horizontal="center"/>
    </xf>
    <xf numFmtId="0" fontId="0" fillId="0" borderId="0" xfId="0" applyAlignment="1">
      <alignment vertical="top" wrapText="1"/>
    </xf>
    <xf numFmtId="0" fontId="0" fillId="2" borderId="0" xfId="0" applyFill="1"/>
    <xf numFmtId="0" fontId="10" fillId="0" borderId="0" xfId="0" applyFont="1" applyAlignment="1">
      <alignment vertical="center"/>
    </xf>
    <xf numFmtId="0" fontId="10"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20" fontId="0" fillId="0" borderId="1" xfId="0" applyNumberFormat="1" applyBorder="1"/>
    <xf numFmtId="167" fontId="0" fillId="0" borderId="1" xfId="0" applyNumberFormat="1" applyBorder="1"/>
    <xf numFmtId="4" fontId="0" fillId="7" borderId="1" xfId="0" applyNumberFormat="1" applyFill="1" applyBorder="1"/>
    <xf numFmtId="4" fontId="0" fillId="0" borderId="8" xfId="0" applyNumberFormat="1" applyBorder="1"/>
    <xf numFmtId="0" fontId="6" fillId="0" borderId="1" xfId="0" applyFont="1" applyBorder="1"/>
    <xf numFmtId="0" fontId="6" fillId="0" borderId="5" xfId="0" applyFont="1" applyBorder="1"/>
    <xf numFmtId="0" fontId="6" fillId="0" borderId="8" xfId="0" applyFont="1" applyBorder="1"/>
    <xf numFmtId="0" fontId="0" fillId="6" borderId="1" xfId="0" applyFill="1" applyBorder="1"/>
    <xf numFmtId="20" fontId="0" fillId="5" borderId="1" xfId="0" applyNumberFormat="1" applyFill="1" applyBorder="1"/>
    <xf numFmtId="0" fontId="0" fillId="0" borderId="1" xfId="0" applyBorder="1" applyAlignment="1">
      <alignment horizontal="center" vertical="center" wrapText="1"/>
    </xf>
    <xf numFmtId="4" fontId="0" fillId="0" borderId="1" xfId="0" applyNumberFormat="1" applyBorder="1" applyAlignment="1">
      <alignment horizontal="right"/>
    </xf>
    <xf numFmtId="4" fontId="0" fillId="0" borderId="1" xfId="0" applyNumberFormat="1" applyBorder="1" applyAlignment="1">
      <alignment horizontal="center" vertical="center"/>
    </xf>
    <xf numFmtId="10" fontId="0" fillId="6" borderId="1" xfId="0" applyNumberFormat="1" applyFill="1" applyBorder="1" applyAlignment="1">
      <alignment horizontal="center"/>
    </xf>
    <xf numFmtId="3" fontId="0" fillId="2" borderId="8" xfId="0" applyNumberFormat="1" applyFill="1" applyBorder="1"/>
    <xf numFmtId="0" fontId="5" fillId="0" borderId="0" xfId="0" applyFont="1" applyAlignment="1">
      <alignment vertical="top" wrapText="1"/>
    </xf>
    <xf numFmtId="0" fontId="6" fillId="0" borderId="0" xfId="0" applyFont="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46" fontId="0" fillId="0" borderId="0" xfId="0" applyNumberFormat="1"/>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horizontal="left" vertical="top"/>
    </xf>
    <xf numFmtId="0" fontId="0" fillId="0" borderId="0" xfId="0" applyAlignment="1">
      <alignment horizontal="left" vertical="center"/>
    </xf>
    <xf numFmtId="0" fontId="0" fillId="2" borderId="1" xfId="0" applyFill="1" applyBorder="1" applyAlignment="1">
      <alignment vertical="top"/>
    </xf>
    <xf numFmtId="4" fontId="0" fillId="7" borderId="1" xfId="0" applyNumberFormat="1" applyFill="1" applyBorder="1" applyAlignment="1">
      <alignment horizontal="right" vertical="center" indent="1"/>
    </xf>
    <xf numFmtId="4" fontId="0" fillId="7" borderId="5" xfId="0" applyNumberFormat="1" applyFill="1" applyBorder="1" applyAlignment="1">
      <alignment horizontal="right" vertical="center" indent="1"/>
    </xf>
    <xf numFmtId="4" fontId="6" fillId="7" borderId="8" xfId="0" applyNumberFormat="1" applyFont="1" applyFill="1" applyBorder="1" applyAlignment="1">
      <alignment horizontal="right" vertical="center" indent="1"/>
    </xf>
    <xf numFmtId="10" fontId="0" fillId="7" borderId="1" xfId="0" applyNumberFormat="1" applyFill="1" applyBorder="1" applyAlignment="1">
      <alignment horizontal="right" vertical="center" indent="1"/>
    </xf>
    <xf numFmtId="3" fontId="0" fillId="7" borderId="1" xfId="0" applyNumberFormat="1" applyFill="1" applyBorder="1" applyAlignment="1">
      <alignment horizontal="center" vertical="center"/>
    </xf>
    <xf numFmtId="10" fontId="0" fillId="7" borderId="1" xfId="0" applyNumberFormat="1" applyFill="1" applyBorder="1" applyAlignment="1">
      <alignment horizontal="center" vertical="center"/>
    </xf>
    <xf numFmtId="4" fontId="0" fillId="7" borderId="1" xfId="0" applyNumberFormat="1" applyFill="1" applyBorder="1" applyAlignment="1">
      <alignment horizontal="center" vertical="center"/>
    </xf>
    <xf numFmtId="4" fontId="6" fillId="7" borderId="8" xfId="0" applyNumberFormat="1" applyFont="1" applyFill="1" applyBorder="1" applyAlignment="1">
      <alignment horizontal="center" vertical="center"/>
    </xf>
    <xf numFmtId="0" fontId="0" fillId="0" borderId="1" xfId="0" quotePrefix="1" applyBorder="1" applyAlignment="1">
      <alignment horizontal="center"/>
    </xf>
    <xf numFmtId="4" fontId="0" fillId="7" borderId="1" xfId="0" applyNumberFormat="1" applyFill="1" applyBorder="1" applyAlignment="1">
      <alignment vertical="center"/>
    </xf>
    <xf numFmtId="4" fontId="0" fillId="2" borderId="1" xfId="0" applyNumberFormat="1" applyFill="1" applyBorder="1" applyAlignment="1">
      <alignment horizontal="center" vertical="center"/>
    </xf>
    <xf numFmtId="0" fontId="0" fillId="2" borderId="1" xfId="0" applyFill="1" applyBorder="1" applyAlignment="1">
      <alignment vertical="top" wrapText="1"/>
    </xf>
    <xf numFmtId="0" fontId="0" fillId="5" borderId="1" xfId="0" applyFill="1" applyBorder="1" applyAlignment="1">
      <alignment vertical="top"/>
    </xf>
    <xf numFmtId="4" fontId="0" fillId="2" borderId="1" xfId="0" applyNumberFormat="1" applyFill="1" applyBorder="1" applyAlignment="1">
      <alignment vertical="center"/>
    </xf>
    <xf numFmtId="3" fontId="0" fillId="2" borderId="1" xfId="0" applyNumberFormat="1" applyFill="1" applyBorder="1" applyAlignment="1">
      <alignment vertical="center"/>
    </xf>
    <xf numFmtId="0" fontId="0" fillId="0" borderId="0" xfId="0" applyAlignment="1">
      <alignment horizontal="center" vertical="center" wrapText="1"/>
    </xf>
    <xf numFmtId="4" fontId="0" fillId="5" borderId="5" xfId="0" applyNumberFormat="1" applyFill="1" applyBorder="1" applyAlignment="1">
      <alignment horizontal="right" vertical="center" indent="1"/>
    </xf>
    <xf numFmtId="4" fontId="0" fillId="5" borderId="5" xfId="0" applyNumberFormat="1" applyFill="1" applyBorder="1" applyAlignment="1">
      <alignment horizontal="center" vertical="center"/>
    </xf>
    <xf numFmtId="4" fontId="0" fillId="2" borderId="5" xfId="0" applyNumberFormat="1" applyFill="1" applyBorder="1" applyAlignment="1">
      <alignment horizontal="center" vertical="center"/>
    </xf>
    <xf numFmtId="20" fontId="0" fillId="2" borderId="1" xfId="0" applyNumberFormat="1" applyFill="1" applyBorder="1"/>
    <xf numFmtId="3" fontId="0" fillId="4" borderId="10" xfId="0" applyNumberFormat="1" applyFill="1" applyBorder="1"/>
    <xf numFmtId="10" fontId="0" fillId="6" borderId="1" xfId="0" applyNumberFormat="1" applyFill="1" applyBorder="1" applyAlignment="1">
      <alignment horizontal="center" vertical="center"/>
    </xf>
    <xf numFmtId="0" fontId="12" fillId="0" borderId="0" xfId="0" applyFont="1" applyAlignment="1">
      <alignment horizontal="center" wrapText="1"/>
    </xf>
    <xf numFmtId="0" fontId="12" fillId="0" borderId="0" xfId="0" applyFont="1" applyAlignment="1">
      <alignment horizontal="center" vertical="center" wrapText="1"/>
    </xf>
    <xf numFmtId="0" fontId="14" fillId="0" borderId="0" xfId="2" applyFont="1"/>
    <xf numFmtId="168" fontId="14" fillId="0" borderId="0" xfId="2" applyNumberFormat="1" applyFont="1"/>
    <xf numFmtId="0" fontId="14" fillId="0" borderId="0" xfId="2" applyFont="1" applyAlignment="1">
      <alignment horizontal="center"/>
    </xf>
    <xf numFmtId="0" fontId="14" fillId="0" borderId="22" xfId="2" applyFont="1" applyBorder="1"/>
    <xf numFmtId="1" fontId="14" fillId="5" borderId="1" xfId="2" applyNumberFormat="1" applyFont="1" applyFill="1" applyBorder="1" applyAlignment="1">
      <alignment horizontal="center"/>
    </xf>
    <xf numFmtId="164" fontId="16" fillId="0" borderId="0" xfId="2" applyNumberFormat="1" applyFont="1" applyAlignment="1">
      <alignment horizontal="left"/>
    </xf>
    <xf numFmtId="0" fontId="14" fillId="13" borderId="1" xfId="2" applyFont="1" applyFill="1" applyBorder="1" applyAlignment="1">
      <alignment horizontal="center" vertical="center"/>
    </xf>
    <xf numFmtId="0" fontId="14" fillId="2" borderId="1" xfId="2" applyFont="1" applyFill="1" applyBorder="1" applyAlignment="1">
      <alignment horizontal="center" vertical="center" wrapText="1"/>
    </xf>
    <xf numFmtId="0" fontId="17" fillId="2" borderId="1" xfId="2" applyFont="1" applyFill="1" applyBorder="1" applyAlignment="1">
      <alignment horizontal="center" vertical="center"/>
    </xf>
    <xf numFmtId="0" fontId="14" fillId="0" borderId="0" xfId="2" applyFont="1" applyAlignment="1">
      <alignment wrapText="1"/>
    </xf>
    <xf numFmtId="0" fontId="17" fillId="2" borderId="1" xfId="2" applyFont="1" applyFill="1" applyBorder="1" applyAlignment="1">
      <alignment horizontal="center" vertical="center" wrapText="1"/>
    </xf>
    <xf numFmtId="0" fontId="17" fillId="2" borderId="1" xfId="2" applyFont="1" applyFill="1" applyBorder="1"/>
    <xf numFmtId="0" fontId="17" fillId="0" borderId="0" xfId="2" applyFont="1"/>
    <xf numFmtId="43" fontId="17" fillId="14" borderId="1" xfId="2" applyNumberFormat="1" applyFont="1" applyFill="1" applyBorder="1"/>
    <xf numFmtId="0" fontId="14" fillId="0" borderId="19" xfId="2" applyFont="1" applyBorder="1"/>
    <xf numFmtId="0" fontId="14" fillId="0" borderId="19" xfId="2" applyFont="1" applyBorder="1" applyAlignment="1">
      <alignment horizontal="center"/>
    </xf>
    <xf numFmtId="0" fontId="17" fillId="0" borderId="0" xfId="2" applyFont="1" applyAlignment="1">
      <alignment vertical="center" wrapText="1"/>
    </xf>
    <xf numFmtId="4" fontId="14" fillId="7" borderId="1" xfId="3" applyNumberFormat="1" applyFont="1" applyFill="1" applyBorder="1" applyAlignment="1">
      <alignment horizontal="center" vertical="center"/>
    </xf>
    <xf numFmtId="0" fontId="14" fillId="2" borderId="44" xfId="2" applyFont="1" applyFill="1" applyBorder="1" applyAlignment="1">
      <alignment horizontal="center" vertical="center" wrapText="1"/>
    </xf>
    <xf numFmtId="0" fontId="14" fillId="2" borderId="1" xfId="2" applyFont="1" applyFill="1" applyBorder="1" applyAlignment="1">
      <alignment horizontal="center" vertical="center"/>
    </xf>
    <xf numFmtId="0" fontId="24" fillId="0" borderId="1" xfId="3" applyFont="1" applyBorder="1" applyProtection="1">
      <protection locked="0"/>
    </xf>
    <xf numFmtId="0" fontId="25" fillId="0" borderId="0" xfId="3" applyFont="1"/>
    <xf numFmtId="0" fontId="14" fillId="0" borderId="1" xfId="4" applyNumberFormat="1" applyFont="1" applyFill="1" applyBorder="1" applyAlignment="1" applyProtection="1">
      <alignment horizontal="center"/>
      <protection locked="0"/>
    </xf>
    <xf numFmtId="0" fontId="23" fillId="0" borderId="0" xfId="3" applyFont="1" applyAlignment="1">
      <alignment vertical="top"/>
    </xf>
    <xf numFmtId="43" fontId="23" fillId="0" borderId="1" xfId="3" applyNumberFormat="1" applyFont="1" applyBorder="1" applyAlignment="1">
      <alignment vertical="top"/>
    </xf>
    <xf numFmtId="168" fontId="17" fillId="0" borderId="1" xfId="2" applyNumberFormat="1" applyFont="1" applyBorder="1"/>
    <xf numFmtId="4" fontId="14" fillId="0" borderId="0" xfId="3" applyNumberFormat="1" applyFont="1" applyAlignment="1">
      <alignment horizontal="center" vertical="center"/>
    </xf>
    <xf numFmtId="169" fontId="14" fillId="7" borderId="1" xfId="3" applyNumberFormat="1" applyFont="1" applyFill="1" applyBorder="1" applyAlignment="1">
      <alignment horizontal="center" vertical="center"/>
    </xf>
    <xf numFmtId="0" fontId="17" fillId="0" borderId="0" xfId="2" applyFont="1" applyAlignment="1">
      <alignment horizontal="center" vertical="center"/>
    </xf>
    <xf numFmtId="168" fontId="14" fillId="0" borderId="19" xfId="2" applyNumberFormat="1" applyFont="1" applyBorder="1"/>
    <xf numFmtId="0" fontId="25" fillId="0" borderId="19" xfId="3" applyFont="1" applyBorder="1"/>
    <xf numFmtId="168" fontId="17" fillId="14" borderId="1" xfId="2" applyNumberFormat="1" applyFont="1" applyFill="1" applyBorder="1"/>
    <xf numFmtId="0" fontId="25" fillId="0" borderId="7" xfId="3" applyFont="1" applyBorder="1"/>
    <xf numFmtId="0" fontId="25" fillId="0" borderId="34" xfId="3" applyFont="1" applyBorder="1"/>
    <xf numFmtId="44" fontId="22" fillId="0" borderId="7" xfId="4" applyFont="1" applyFill="1" applyBorder="1" applyAlignment="1">
      <alignment vertical="top"/>
    </xf>
    <xf numFmtId="0" fontId="22" fillId="0" borderId="7" xfId="3" applyFont="1" applyBorder="1" applyAlignment="1">
      <alignment vertical="top"/>
    </xf>
    <xf numFmtId="44" fontId="25" fillId="0" borderId="34" xfId="4" applyFont="1" applyFill="1" applyBorder="1" applyAlignment="1">
      <alignment vertical="top"/>
    </xf>
    <xf numFmtId="44" fontId="25" fillId="0" borderId="7" xfId="4" applyFont="1" applyFill="1" applyBorder="1" applyAlignment="1">
      <alignment vertical="top"/>
    </xf>
    <xf numFmtId="44" fontId="22" fillId="0" borderId="11" xfId="4" applyFont="1" applyFill="1" applyBorder="1" applyAlignment="1">
      <alignment vertical="center"/>
    </xf>
    <xf numFmtId="44" fontId="22" fillId="0" borderId="34" xfId="4" applyFont="1" applyFill="1" applyBorder="1" applyAlignment="1">
      <alignment vertical="center"/>
    </xf>
    <xf numFmtId="44" fontId="8" fillId="0" borderId="34" xfId="4" applyFont="1" applyBorder="1"/>
    <xf numFmtId="44" fontId="22" fillId="0" borderId="34" xfId="4" applyFont="1" applyFill="1" applyBorder="1" applyAlignment="1">
      <alignment vertical="top"/>
    </xf>
    <xf numFmtId="0" fontId="22" fillId="0" borderId="0" xfId="3" applyFont="1" applyAlignment="1">
      <alignment vertical="top"/>
    </xf>
    <xf numFmtId="3" fontId="25" fillId="0" borderId="34" xfId="3" applyNumberFormat="1" applyFont="1" applyBorder="1"/>
    <xf numFmtId="44" fontId="22" fillId="0" borderId="34" xfId="4" applyFont="1" applyFill="1" applyBorder="1"/>
    <xf numFmtId="43" fontId="23" fillId="0" borderId="1" xfId="5" applyFont="1" applyFill="1" applyBorder="1" applyProtection="1">
      <protection locked="0"/>
    </xf>
    <xf numFmtId="44" fontId="23" fillId="0" borderId="1" xfId="4" applyFont="1" applyFill="1" applyBorder="1" applyProtection="1">
      <protection locked="0"/>
    </xf>
    <xf numFmtId="0" fontId="22" fillId="0" borderId="33" xfId="3" applyFont="1" applyBorder="1" applyAlignment="1">
      <alignment vertical="center"/>
    </xf>
    <xf numFmtId="0" fontId="25" fillId="0" borderId="32" xfId="3" applyFont="1" applyBorder="1"/>
    <xf numFmtId="0" fontId="25" fillId="0" borderId="31" xfId="3" applyFont="1" applyBorder="1"/>
    <xf numFmtId="0" fontId="25" fillId="0" borderId="30" xfId="3" applyFont="1" applyBorder="1"/>
    <xf numFmtId="0" fontId="25" fillId="0" borderId="29" xfId="3" applyFont="1" applyBorder="1"/>
    <xf numFmtId="0" fontId="25" fillId="0" borderId="27" xfId="3" applyFont="1" applyBorder="1"/>
    <xf numFmtId="0" fontId="25" fillId="0" borderId="26" xfId="3" applyFont="1" applyBorder="1"/>
    <xf numFmtId="0" fontId="25" fillId="0" borderId="25" xfId="3" applyFont="1" applyBorder="1"/>
    <xf numFmtId="0" fontId="25" fillId="0" borderId="24" xfId="3" applyFont="1" applyBorder="1"/>
    <xf numFmtId="0" fontId="17" fillId="0" borderId="0" xfId="3" applyFont="1" applyAlignment="1">
      <alignment vertical="center"/>
    </xf>
    <xf numFmtId="0" fontId="17" fillId="2" borderId="44" xfId="2" applyFont="1" applyFill="1" applyBorder="1"/>
    <xf numFmtId="0" fontId="17" fillId="2" borderId="44" xfId="2" applyFont="1" applyFill="1" applyBorder="1" applyAlignment="1">
      <alignment horizontal="center" vertical="center"/>
    </xf>
    <xf numFmtId="0" fontId="14" fillId="2" borderId="44" xfId="2" applyFont="1" applyFill="1" applyBorder="1" applyAlignment="1">
      <alignment horizontal="center" vertical="center"/>
    </xf>
    <xf numFmtId="4" fontId="14" fillId="20" borderId="1" xfId="3" applyNumberFormat="1" applyFont="1" applyFill="1" applyBorder="1" applyAlignment="1">
      <alignment horizontal="center" vertical="center"/>
    </xf>
    <xf numFmtId="0" fontId="25" fillId="0" borderId="0" xfId="3" applyFont="1" applyAlignment="1">
      <alignment wrapText="1"/>
    </xf>
    <xf numFmtId="43" fontId="23" fillId="0" borderId="0" xfId="5" applyFont="1" applyFill="1" applyBorder="1" applyProtection="1">
      <protection locked="0"/>
    </xf>
    <xf numFmtId="44" fontId="23" fillId="0" borderId="0" xfId="4" applyFont="1" applyFill="1" applyBorder="1" applyProtection="1">
      <protection locked="0"/>
    </xf>
    <xf numFmtId="0" fontId="25" fillId="0" borderId="42" xfId="3" applyFont="1" applyBorder="1"/>
    <xf numFmtId="0" fontId="25" fillId="0" borderId="0" xfId="3" applyFont="1" applyAlignment="1">
      <alignment vertical="top" wrapText="1"/>
    </xf>
    <xf numFmtId="0" fontId="2" fillId="0" borderId="0" xfId="3" applyFont="1"/>
    <xf numFmtId="0" fontId="2" fillId="0" borderId="33" xfId="3" applyFont="1" applyBorder="1"/>
    <xf numFmtId="0" fontId="2" fillId="0" borderId="42" xfId="3" applyFont="1" applyBorder="1"/>
    <xf numFmtId="0" fontId="2" fillId="0" borderId="32" xfId="3" applyFont="1" applyBorder="1"/>
    <xf numFmtId="0" fontId="22" fillId="0" borderId="0" xfId="3" applyFont="1"/>
    <xf numFmtId="0" fontId="26" fillId="0" borderId="31" xfId="3" applyFont="1" applyBorder="1"/>
    <xf numFmtId="0" fontId="26" fillId="0" borderId="0" xfId="3" applyFont="1" applyAlignment="1">
      <alignment horizontal="center"/>
    </xf>
    <xf numFmtId="0" fontId="2" fillId="0" borderId="30" xfId="3" applyFont="1" applyBorder="1"/>
    <xf numFmtId="0" fontId="22" fillId="0" borderId="0" xfId="3" applyFont="1" applyAlignment="1">
      <alignment vertical="top" wrapText="1"/>
    </xf>
    <xf numFmtId="0" fontId="2" fillId="0" borderId="31" xfId="3" applyFont="1" applyBorder="1"/>
    <xf numFmtId="0" fontId="2" fillId="0" borderId="39" xfId="3" applyFont="1" applyBorder="1" applyAlignment="1">
      <alignment horizontal="center"/>
    </xf>
    <xf numFmtId="0" fontId="2" fillId="0" borderId="39" xfId="3" applyFont="1" applyBorder="1" applyAlignment="1">
      <alignment horizontal="centerContinuous"/>
    </xf>
    <xf numFmtId="0" fontId="2" fillId="0" borderId="25" xfId="3" applyFont="1" applyBorder="1"/>
    <xf numFmtId="0" fontId="2" fillId="0" borderId="35" xfId="3" applyFont="1" applyBorder="1"/>
    <xf numFmtId="0" fontId="2" fillId="0" borderId="24" xfId="3" applyFont="1" applyBorder="1" applyAlignment="1">
      <alignment horizontal="center"/>
    </xf>
    <xf numFmtId="0" fontId="2" fillId="0" borderId="39" xfId="3" applyFont="1" applyBorder="1"/>
    <xf numFmtId="0" fontId="25" fillId="0" borderId="39" xfId="3" applyFont="1" applyBorder="1"/>
    <xf numFmtId="0" fontId="28" fillId="18" borderId="33" xfId="3" applyFont="1" applyFill="1" applyBorder="1" applyAlignment="1">
      <alignment vertical="top"/>
    </xf>
    <xf numFmtId="0" fontId="28" fillId="18" borderId="42" xfId="3" applyFont="1" applyFill="1" applyBorder="1" applyAlignment="1">
      <alignment vertical="top"/>
    </xf>
    <xf numFmtId="0" fontId="28" fillId="18" borderId="31" xfId="3" applyFont="1" applyFill="1" applyBorder="1" applyAlignment="1">
      <alignment vertical="top"/>
    </xf>
    <xf numFmtId="0" fontId="28" fillId="18" borderId="0" xfId="3" applyFont="1" applyFill="1" applyAlignment="1">
      <alignment vertical="top"/>
    </xf>
    <xf numFmtId="0" fontId="28" fillId="12" borderId="0" xfId="3" applyFont="1" applyFill="1" applyAlignment="1">
      <alignment vertical="top"/>
    </xf>
    <xf numFmtId="0" fontId="28" fillId="18" borderId="25" xfId="3" applyFont="1" applyFill="1" applyBorder="1" applyAlignment="1">
      <alignment vertical="top"/>
    </xf>
    <xf numFmtId="0" fontId="28" fillId="18" borderId="35" xfId="3" applyFont="1" applyFill="1" applyBorder="1" applyAlignment="1">
      <alignment vertical="top"/>
    </xf>
    <xf numFmtId="0" fontId="22" fillId="15" borderId="38" xfId="3" applyFont="1" applyFill="1" applyBorder="1"/>
    <xf numFmtId="0" fontId="2" fillId="15" borderId="37" xfId="3" applyFont="1" applyFill="1" applyBorder="1"/>
    <xf numFmtId="0" fontId="22" fillId="16" borderId="33" xfId="3" applyFont="1" applyFill="1" applyBorder="1" applyAlignment="1">
      <alignment vertical="top"/>
    </xf>
    <xf numFmtId="0" fontId="22" fillId="16" borderId="42" xfId="3" applyFont="1" applyFill="1" applyBorder="1" applyAlignment="1">
      <alignment vertical="top"/>
    </xf>
    <xf numFmtId="0" fontId="22" fillId="16" borderId="25" xfId="3" applyFont="1" applyFill="1" applyBorder="1" applyAlignment="1">
      <alignment vertical="top"/>
    </xf>
    <xf numFmtId="0" fontId="22" fillId="16" borderId="35" xfId="3" applyFont="1" applyFill="1" applyBorder="1" applyAlignment="1">
      <alignment vertical="top"/>
    </xf>
    <xf numFmtId="10" fontId="25" fillId="16" borderId="40" xfId="6" applyNumberFormat="1" applyFont="1" applyFill="1" applyBorder="1" applyAlignment="1">
      <alignment vertical="top"/>
    </xf>
    <xf numFmtId="0" fontId="22" fillId="0" borderId="31" xfId="3" applyFont="1" applyBorder="1" applyAlignment="1">
      <alignment vertical="top"/>
    </xf>
    <xf numFmtId="0" fontId="30" fillId="0" borderId="0" xfId="3" applyFont="1"/>
    <xf numFmtId="9" fontId="25" fillId="0" borderId="0" xfId="3" applyNumberFormat="1" applyFont="1"/>
    <xf numFmtId="0" fontId="22" fillId="16" borderId="31" xfId="3" applyFont="1" applyFill="1" applyBorder="1" applyAlignment="1">
      <alignment vertical="top"/>
    </xf>
    <xf numFmtId="0" fontId="22" fillId="16" borderId="0" xfId="3" applyFont="1" applyFill="1" applyAlignment="1">
      <alignment vertical="top"/>
    </xf>
    <xf numFmtId="0" fontId="25" fillId="0" borderId="0" xfId="3" applyFont="1" applyAlignment="1">
      <alignment vertical="top"/>
    </xf>
    <xf numFmtId="0" fontId="26" fillId="0" borderId="25" xfId="3" applyFont="1" applyBorder="1"/>
    <xf numFmtId="0" fontId="26" fillId="0" borderId="35" xfId="3" applyFont="1" applyBorder="1"/>
    <xf numFmtId="10" fontId="26" fillId="0" borderId="35" xfId="6" applyNumberFormat="1" applyFont="1" applyBorder="1"/>
    <xf numFmtId="0" fontId="31" fillId="0" borderId="0" xfId="3" applyFont="1"/>
    <xf numFmtId="0" fontId="32" fillId="0" borderId="0" xfId="3" applyFont="1" applyAlignment="1">
      <alignment vertical="top" wrapText="1"/>
    </xf>
    <xf numFmtId="0" fontId="32" fillId="0" borderId="0" xfId="3" applyFont="1" applyAlignment="1">
      <alignment vertical="top"/>
    </xf>
    <xf numFmtId="0" fontId="33" fillId="0" borderId="0" xfId="3" applyFont="1" applyAlignment="1">
      <alignment horizontal="center"/>
    </xf>
    <xf numFmtId="0" fontId="34" fillId="0" borderId="0" xfId="3" applyFont="1" applyAlignment="1">
      <alignment vertical="top" wrapText="1"/>
    </xf>
    <xf numFmtId="46" fontId="25" fillId="0" borderId="0" xfId="3" applyNumberFormat="1" applyFont="1" applyAlignment="1">
      <alignment vertical="top" wrapText="1"/>
    </xf>
    <xf numFmtId="0" fontId="8" fillId="0" borderId="0" xfId="0" applyFont="1" applyAlignment="1">
      <alignment vertical="top"/>
    </xf>
    <xf numFmtId="0" fontId="17" fillId="0" borderId="25" xfId="3" applyFont="1" applyBorder="1"/>
    <xf numFmtId="0" fontId="25" fillId="0" borderId="35" xfId="3" applyFont="1" applyBorder="1"/>
    <xf numFmtId="3" fontId="25" fillId="18" borderId="41" xfId="3" applyNumberFormat="1" applyFont="1" applyFill="1" applyBorder="1" applyAlignment="1">
      <alignment horizontal="center" vertical="center"/>
    </xf>
    <xf numFmtId="10" fontId="25" fillId="16" borderId="40" xfId="6" applyNumberFormat="1" applyFont="1" applyFill="1" applyBorder="1" applyAlignment="1">
      <alignment horizontal="center" vertical="center"/>
    </xf>
    <xf numFmtId="10" fontId="25" fillId="16" borderId="39" xfId="6" applyNumberFormat="1" applyFont="1" applyFill="1" applyBorder="1" applyAlignment="1">
      <alignment horizontal="center" vertical="center"/>
    </xf>
    <xf numFmtId="0" fontId="22" fillId="15" borderId="36" xfId="3" applyFont="1" applyFill="1" applyBorder="1" applyAlignment="1">
      <alignment horizontal="center" vertical="center"/>
    </xf>
    <xf numFmtId="0" fontId="25" fillId="0" borderId="0" xfId="3" applyFont="1" applyAlignment="1">
      <alignment horizontal="center" vertical="center"/>
    </xf>
    <xf numFmtId="0" fontId="22" fillId="0" borderId="35" xfId="3" applyFont="1" applyBorder="1" applyAlignment="1">
      <alignment horizontal="center" vertical="center"/>
    </xf>
    <xf numFmtId="169" fontId="22" fillId="15" borderId="36" xfId="3" applyNumberFormat="1" applyFont="1" applyFill="1" applyBorder="1" applyAlignment="1">
      <alignment horizontal="center" vertical="center"/>
    </xf>
    <xf numFmtId="10" fontId="25" fillId="16" borderId="41" xfId="6" applyNumberFormat="1" applyFont="1" applyFill="1" applyBorder="1" applyAlignment="1">
      <alignment horizontal="center" vertical="center"/>
    </xf>
    <xf numFmtId="168" fontId="25" fillId="16" borderId="40" xfId="3" applyNumberFormat="1" applyFont="1" applyFill="1" applyBorder="1" applyAlignment="1">
      <alignment horizontal="center" vertical="center"/>
    </xf>
    <xf numFmtId="169" fontId="25" fillId="0" borderId="39" xfId="3" applyNumberFormat="1" applyFont="1" applyBorder="1" applyAlignment="1">
      <alignment horizontal="center" vertical="center"/>
    </xf>
    <xf numFmtId="168" fontId="22" fillId="17" borderId="36" xfId="3" applyNumberFormat="1" applyFont="1" applyFill="1" applyBorder="1" applyAlignment="1">
      <alignment horizontal="center" vertical="center"/>
    </xf>
    <xf numFmtId="169" fontId="22" fillId="0" borderId="39" xfId="3" applyNumberFormat="1" applyFont="1" applyBorder="1" applyAlignment="1">
      <alignment horizontal="center" vertical="center"/>
    </xf>
    <xf numFmtId="169" fontId="22" fillId="17" borderId="36" xfId="3" applyNumberFormat="1" applyFont="1" applyFill="1" applyBorder="1" applyAlignment="1">
      <alignment horizontal="center" vertical="center"/>
    </xf>
    <xf numFmtId="3" fontId="25" fillId="0" borderId="39" xfId="3" applyNumberFormat="1" applyFont="1" applyBorder="1" applyAlignment="1">
      <alignment horizontal="center" vertical="center"/>
    </xf>
    <xf numFmtId="168" fontId="25" fillId="16" borderId="39" xfId="6" applyNumberFormat="1" applyFont="1" applyFill="1" applyBorder="1" applyAlignment="1">
      <alignment horizontal="center" vertical="center"/>
    </xf>
    <xf numFmtId="168" fontId="25" fillId="16" borderId="40" xfId="6" applyNumberFormat="1" applyFont="1" applyFill="1" applyBorder="1" applyAlignment="1">
      <alignment horizontal="center" vertical="center"/>
    </xf>
    <xf numFmtId="169" fontId="25" fillId="0" borderId="39" xfId="6" applyNumberFormat="1" applyFont="1" applyFill="1" applyBorder="1" applyAlignment="1">
      <alignment horizontal="center" vertical="center"/>
    </xf>
    <xf numFmtId="168" fontId="22" fillId="17" borderId="36" xfId="6" applyNumberFormat="1" applyFont="1" applyFill="1" applyBorder="1" applyAlignment="1">
      <alignment horizontal="center" vertical="center"/>
    </xf>
    <xf numFmtId="169" fontId="25" fillId="12" borderId="41" xfId="3" applyNumberFormat="1" applyFont="1" applyFill="1" applyBorder="1" applyAlignment="1">
      <alignment horizontal="center" vertical="center"/>
    </xf>
    <xf numFmtId="44" fontId="25" fillId="12" borderId="39" xfId="4" applyFont="1" applyFill="1" applyBorder="1" applyAlignment="1">
      <alignment horizontal="center" vertical="center"/>
    </xf>
    <xf numFmtId="44" fontId="25" fillId="12" borderId="40" xfId="4" applyFont="1" applyFill="1" applyBorder="1" applyAlignment="1">
      <alignment horizontal="center" vertical="center"/>
    </xf>
    <xf numFmtId="44" fontId="25" fillId="0" borderId="39" xfId="4" applyFont="1" applyBorder="1" applyAlignment="1">
      <alignment horizontal="center" vertical="center"/>
    </xf>
    <xf numFmtId="44" fontId="22" fillId="17" borderId="36" xfId="4" applyFont="1" applyFill="1" applyBorder="1" applyAlignment="1">
      <alignment horizontal="center" vertical="center"/>
    </xf>
    <xf numFmtId="44" fontId="25" fillId="0" borderId="41" xfId="4" applyFont="1" applyBorder="1" applyAlignment="1">
      <alignment horizontal="center" vertical="center"/>
    </xf>
    <xf numFmtId="44" fontId="25" fillId="16" borderId="40" xfId="4" applyFont="1" applyFill="1" applyBorder="1" applyAlignment="1">
      <alignment horizontal="center" vertical="center"/>
    </xf>
    <xf numFmtId="44" fontId="25" fillId="16" borderId="39" xfId="4" applyFont="1" applyFill="1" applyBorder="1" applyAlignment="1">
      <alignment horizontal="center" vertical="center"/>
    </xf>
    <xf numFmtId="44" fontId="22" fillId="15" borderId="36" xfId="4" applyFont="1" applyFill="1" applyBorder="1" applyAlignment="1">
      <alignment horizontal="center" vertical="center"/>
    </xf>
    <xf numFmtId="0" fontId="25" fillId="0" borderId="30" xfId="3" applyFont="1" applyBorder="1" applyAlignment="1">
      <alignment horizontal="center" vertical="center"/>
    </xf>
    <xf numFmtId="0" fontId="22" fillId="0" borderId="24" xfId="3" applyFont="1" applyBorder="1" applyAlignment="1">
      <alignment horizontal="center" vertical="center"/>
    </xf>
    <xf numFmtId="0" fontId="22" fillId="18" borderId="42" xfId="3" applyFont="1" applyFill="1" applyBorder="1" applyAlignment="1">
      <alignment horizontal="center" vertical="center"/>
    </xf>
    <xf numFmtId="4" fontId="22" fillId="18" borderId="0" xfId="3" applyNumberFormat="1" applyFont="1" applyFill="1" applyAlignment="1">
      <alignment horizontal="center" vertical="center"/>
    </xf>
    <xf numFmtId="4" fontId="22" fillId="18" borderId="35" xfId="3" applyNumberFormat="1" applyFont="1" applyFill="1" applyBorder="1" applyAlignment="1">
      <alignment horizontal="center" vertical="center"/>
    </xf>
    <xf numFmtId="0" fontId="2" fillId="0" borderId="0" xfId="3" applyFont="1" applyAlignment="1">
      <alignment horizontal="center" vertical="center"/>
    </xf>
    <xf numFmtId="2" fontId="22" fillId="16" borderId="42" xfId="3" applyNumberFormat="1" applyFont="1" applyFill="1" applyBorder="1" applyAlignment="1">
      <alignment horizontal="center" vertical="center"/>
    </xf>
    <xf numFmtId="44" fontId="25" fillId="18" borderId="39" xfId="3" applyNumberFormat="1" applyFont="1" applyFill="1" applyBorder="1" applyAlignment="1">
      <alignment horizontal="center" vertical="center"/>
    </xf>
    <xf numFmtId="44" fontId="25" fillId="18" borderId="40" xfId="3" applyNumberFormat="1" applyFont="1" applyFill="1" applyBorder="1" applyAlignment="1">
      <alignment horizontal="center" vertical="center"/>
    </xf>
    <xf numFmtId="44" fontId="22" fillId="15" borderId="36" xfId="3" applyNumberFormat="1" applyFont="1" applyFill="1" applyBorder="1" applyAlignment="1">
      <alignment horizontal="center" vertical="center"/>
    </xf>
    <xf numFmtId="10" fontId="4" fillId="12" borderId="39" xfId="6" applyNumberFormat="1" applyFont="1" applyFill="1" applyBorder="1" applyAlignment="1">
      <alignment horizontal="center" vertical="center"/>
    </xf>
    <xf numFmtId="10" fontId="4" fillId="12" borderId="40" xfId="6" applyNumberFormat="1" applyFont="1" applyFill="1" applyBorder="1" applyAlignment="1">
      <alignment horizontal="center" vertical="center"/>
    </xf>
    <xf numFmtId="9" fontId="4" fillId="12" borderId="41" xfId="6" applyFont="1" applyFill="1" applyBorder="1" applyAlignment="1">
      <alignment horizontal="center" vertical="center"/>
    </xf>
    <xf numFmtId="9" fontId="4" fillId="0" borderId="39" xfId="6" applyFont="1" applyBorder="1" applyAlignment="1">
      <alignment horizontal="center" vertical="center"/>
    </xf>
    <xf numFmtId="9" fontId="4" fillId="17" borderId="36" xfId="6" applyFont="1" applyFill="1" applyBorder="1" applyAlignment="1">
      <alignment horizontal="center" vertical="center"/>
    </xf>
    <xf numFmtId="9" fontId="4" fillId="0" borderId="41" xfId="6" applyFont="1" applyBorder="1" applyAlignment="1">
      <alignment horizontal="center" vertical="center"/>
    </xf>
    <xf numFmtId="168" fontId="22" fillId="0" borderId="35" xfId="3" applyNumberFormat="1" applyFont="1" applyBorder="1" applyAlignment="1">
      <alignment horizontal="center" vertical="center"/>
    </xf>
    <xf numFmtId="0" fontId="8" fillId="13" borderId="29" xfId="0" applyFont="1" applyFill="1" applyBorder="1" applyAlignment="1">
      <alignment vertical="top"/>
    </xf>
    <xf numFmtId="170" fontId="14" fillId="20" borderId="1" xfId="3" applyNumberFormat="1" applyFont="1" applyFill="1" applyBorder="1" applyAlignment="1">
      <alignment horizontal="center" vertical="center"/>
    </xf>
    <xf numFmtId="0" fontId="14" fillId="0" borderId="0" xfId="2" applyFont="1" applyAlignment="1">
      <alignment vertical="top"/>
    </xf>
    <xf numFmtId="0" fontId="25" fillId="0" borderId="5" xfId="3" applyFont="1" applyBorder="1"/>
    <xf numFmtId="0" fontId="27" fillId="0" borderId="46" xfId="3" applyFont="1" applyBorder="1" applyAlignment="1">
      <alignment wrapText="1"/>
    </xf>
    <xf numFmtId="0" fontId="22" fillId="0" borderId="5" xfId="3" applyFont="1" applyBorder="1" applyAlignment="1">
      <alignment wrapText="1"/>
    </xf>
    <xf numFmtId="9" fontId="22" fillId="0" borderId="34" xfId="3" applyNumberFormat="1" applyFont="1" applyBorder="1"/>
    <xf numFmtId="0" fontId="22" fillId="0" borderId="34" xfId="3" applyFont="1" applyBorder="1" applyAlignment="1">
      <alignment vertical="top"/>
    </xf>
    <xf numFmtId="0" fontId="22" fillId="0" borderId="34" xfId="3" applyFont="1" applyBorder="1" applyAlignment="1">
      <alignment horizontal="right" vertical="top"/>
    </xf>
    <xf numFmtId="44" fontId="22" fillId="0" borderId="7" xfId="4" applyFont="1" applyFill="1" applyBorder="1" applyAlignment="1">
      <alignment vertical="center"/>
    </xf>
    <xf numFmtId="170" fontId="22" fillId="0" borderId="7" xfId="4" applyNumberFormat="1" applyFont="1" applyFill="1" applyBorder="1" applyAlignment="1">
      <alignment vertical="center"/>
    </xf>
    <xf numFmtId="0" fontId="25" fillId="0" borderId="44" xfId="3" applyFont="1" applyBorder="1"/>
    <xf numFmtId="0" fontId="25" fillId="0" borderId="45" xfId="3" applyFont="1" applyBorder="1"/>
    <xf numFmtId="10" fontId="25" fillId="0" borderId="39" xfId="6" applyNumberFormat="1" applyFont="1" applyFill="1" applyBorder="1" applyAlignment="1">
      <alignment horizontal="center" vertical="center"/>
    </xf>
    <xf numFmtId="2" fontId="22" fillId="15" borderId="37" xfId="3" applyNumberFormat="1" applyFont="1" applyFill="1" applyBorder="1" applyAlignment="1">
      <alignment horizontal="center" vertical="center"/>
    </xf>
    <xf numFmtId="44" fontId="0" fillId="0" borderId="1" xfId="0" applyNumberFormat="1" applyBorder="1" applyAlignment="1">
      <alignment horizontal="right" vertical="center"/>
    </xf>
    <xf numFmtId="2" fontId="22" fillId="16" borderId="35" xfId="3" applyNumberFormat="1" applyFont="1" applyFill="1" applyBorder="1" applyAlignment="1">
      <alignment horizontal="center" vertical="center"/>
    </xf>
    <xf numFmtId="0" fontId="26" fillId="16" borderId="35" xfId="3" applyFont="1" applyFill="1" applyBorder="1" applyAlignment="1">
      <alignment vertical="top"/>
    </xf>
    <xf numFmtId="0" fontId="26" fillId="16" borderId="0" xfId="3" applyFont="1" applyFill="1" applyAlignment="1">
      <alignment vertical="top"/>
    </xf>
    <xf numFmtId="170" fontId="14" fillId="7" borderId="1" xfId="3" applyNumberFormat="1" applyFont="1" applyFill="1" applyBorder="1" applyAlignment="1">
      <alignment horizontal="center" vertical="center"/>
    </xf>
    <xf numFmtId="0" fontId="14" fillId="0" borderId="0" xfId="2" applyFont="1" applyAlignment="1">
      <alignment horizontal="center" vertical="center"/>
    </xf>
    <xf numFmtId="0" fontId="36" fillId="0" borderId="0" xfId="3" applyFont="1" applyAlignment="1">
      <alignment horizontal="right" vertical="center"/>
    </xf>
    <xf numFmtId="0" fontId="14" fillId="0" borderId="0" xfId="2" applyFont="1" applyAlignment="1">
      <alignment horizontal="right"/>
    </xf>
    <xf numFmtId="168" fontId="14" fillId="0" borderId="1" xfId="2" applyNumberFormat="1" applyFont="1" applyBorder="1"/>
    <xf numFmtId="4" fontId="0" fillId="7" borderId="1" xfId="0" applyNumberFormat="1" applyFill="1" applyBorder="1" applyAlignment="1">
      <alignment horizontal="right" vertical="center"/>
    </xf>
    <xf numFmtId="4" fontId="6" fillId="7" borderId="8" xfId="0" applyNumberFormat="1" applyFont="1" applyFill="1" applyBorder="1" applyAlignment="1">
      <alignment vertical="center"/>
    </xf>
    <xf numFmtId="4" fontId="6" fillId="2" borderId="8" xfId="0" applyNumberFormat="1" applyFont="1" applyFill="1" applyBorder="1" applyAlignment="1">
      <alignment horizontal="right" vertical="center" indent="1"/>
    </xf>
    <xf numFmtId="0" fontId="0" fillId="2" borderId="1" xfId="0" applyFill="1" applyBorder="1" applyAlignment="1">
      <alignment horizontal="left" vertical="top" indent="2"/>
    </xf>
    <xf numFmtId="4" fontId="0" fillId="7" borderId="34" xfId="0" applyNumberFormat="1" applyFill="1" applyBorder="1" applyAlignment="1">
      <alignment horizontal="right" vertical="center" indent="1"/>
    </xf>
    <xf numFmtId="0" fontId="25" fillId="0" borderId="0" xfId="3" applyFont="1" applyAlignment="1">
      <alignment horizontal="left" wrapText="1"/>
    </xf>
    <xf numFmtId="0" fontId="38" fillId="0" borderId="0" xfId="3" applyFont="1" applyAlignment="1">
      <alignment horizontal="left" vertical="center" wrapText="1"/>
    </xf>
    <xf numFmtId="0" fontId="39" fillId="0" borderId="0" xfId="3" applyFont="1" applyAlignment="1">
      <alignment horizontal="left" vertical="center" wrapText="1"/>
    </xf>
    <xf numFmtId="0" fontId="40" fillId="0" borderId="0" xfId="3" applyFont="1" applyAlignment="1">
      <alignment horizontal="left" vertical="center" wrapText="1"/>
    </xf>
    <xf numFmtId="0" fontId="39" fillId="0" borderId="0" xfId="3" applyFont="1"/>
    <xf numFmtId="0" fontId="39" fillId="0" borderId="0" xfId="3" applyFont="1" applyAlignment="1">
      <alignment horizontal="justify" vertical="center" wrapText="1"/>
    </xf>
    <xf numFmtId="0" fontId="38" fillId="0" borderId="0" xfId="3" applyFont="1" applyAlignment="1">
      <alignment horizontal="justify" vertical="center"/>
    </xf>
    <xf numFmtId="0" fontId="40" fillId="0" borderId="0" xfId="3" applyFont="1" applyAlignment="1">
      <alignment horizontal="justify" vertical="center"/>
    </xf>
    <xf numFmtId="0" fontId="39" fillId="0" borderId="0" xfId="3" applyFont="1" applyAlignment="1">
      <alignment horizontal="justify" vertical="center"/>
    </xf>
    <xf numFmtId="0" fontId="41" fillId="0" borderId="0" xfId="3" applyFont="1" applyAlignment="1">
      <alignment horizontal="justify" vertical="center" wrapText="1"/>
    </xf>
    <xf numFmtId="0" fontId="39" fillId="0" borderId="0" xfId="3" applyFont="1" applyAlignment="1">
      <alignment wrapText="1"/>
    </xf>
    <xf numFmtId="0" fontId="43" fillId="0" borderId="0" xfId="3" applyFont="1" applyAlignment="1">
      <alignment horizontal="justify" vertical="center"/>
    </xf>
    <xf numFmtId="0" fontId="44" fillId="0" borderId="0" xfId="0" applyFont="1" applyAlignment="1">
      <alignment horizontal="justify" vertical="center"/>
    </xf>
    <xf numFmtId="0" fontId="39" fillId="0" borderId="0" xfId="3" applyFont="1" applyAlignment="1">
      <alignment horizontal="left" vertical="center" wrapText="1" indent="1"/>
    </xf>
    <xf numFmtId="0" fontId="17" fillId="0" borderId="0" xfId="2" applyFont="1" applyAlignment="1">
      <alignment horizontal="left" vertical="center" wrapText="1"/>
    </xf>
    <xf numFmtId="0" fontId="45" fillId="0" borderId="0" xfId="2" applyFont="1" applyAlignment="1">
      <alignment horizontal="left" vertical="center" wrapText="1" indent="1"/>
    </xf>
    <xf numFmtId="0" fontId="0" fillId="5" borderId="1" xfId="0" applyFill="1" applyBorder="1" applyAlignment="1" applyProtection="1">
      <alignment horizontal="center" vertical="center" wrapText="1"/>
      <protection locked="0"/>
    </xf>
    <xf numFmtId="4" fontId="0" fillId="5" borderId="1" xfId="0" applyNumberFormat="1" applyFill="1" applyBorder="1" applyAlignment="1" applyProtection="1">
      <alignment horizontal="center"/>
      <protection locked="0"/>
    </xf>
    <xf numFmtId="4" fontId="0" fillId="5" borderId="1" xfId="0" applyNumberFormat="1" applyFill="1" applyBorder="1" applyProtection="1">
      <protection locked="0"/>
    </xf>
    <xf numFmtId="4" fontId="0" fillId="5" borderId="6" xfId="0" applyNumberFormat="1" applyFill="1" applyBorder="1" applyProtection="1">
      <protection locked="0"/>
    </xf>
    <xf numFmtId="4" fontId="0" fillId="5" borderId="10" xfId="0" applyNumberFormat="1" applyFill="1" applyBorder="1" applyProtection="1">
      <protection locked="0"/>
    </xf>
    <xf numFmtId="0" fontId="14" fillId="5" borderId="1" xfId="1" applyNumberFormat="1" applyFont="1" applyFill="1" applyBorder="1" applyAlignment="1" applyProtection="1">
      <alignment vertical="center" wrapText="1"/>
      <protection locked="0"/>
    </xf>
    <xf numFmtId="0" fontId="0" fillId="5" borderId="1" xfId="0" applyFill="1" applyBorder="1" applyProtection="1">
      <protection locked="0"/>
    </xf>
    <xf numFmtId="20" fontId="0" fillId="5" borderId="1" xfId="0" applyNumberFormat="1" applyFill="1" applyBorder="1" applyProtection="1">
      <protection locked="0"/>
    </xf>
    <xf numFmtId="0" fontId="0" fillId="5" borderId="1" xfId="0" applyFill="1" applyBorder="1" applyAlignment="1" applyProtection="1">
      <alignment horizontal="center" vertical="center"/>
      <protection locked="0"/>
    </xf>
    <xf numFmtId="10" fontId="0" fillId="5" borderId="1" xfId="0" applyNumberFormat="1" applyFill="1" applyBorder="1" applyAlignment="1" applyProtection="1">
      <alignment horizontal="center" vertical="center"/>
      <protection locked="0"/>
    </xf>
    <xf numFmtId="16" fontId="0" fillId="0" borderId="0" xfId="0" quotePrefix="1" applyNumberFormat="1"/>
    <xf numFmtId="10" fontId="0" fillId="5" borderId="1" xfId="0" applyNumberFormat="1" applyFill="1" applyBorder="1" applyAlignment="1" applyProtection="1">
      <alignment horizontal="center"/>
      <protection locked="0"/>
    </xf>
    <xf numFmtId="0" fontId="14" fillId="5" borderId="1" xfId="3" applyFont="1" applyFill="1" applyBorder="1"/>
    <xf numFmtId="0" fontId="14" fillId="5" borderId="1" xfId="3" applyFont="1" applyFill="1" applyBorder="1" applyProtection="1">
      <protection locked="0"/>
    </xf>
    <xf numFmtId="0" fontId="14" fillId="5" borderId="1" xfId="2" applyFont="1" applyFill="1" applyBorder="1" applyAlignment="1">
      <alignment horizontal="center"/>
    </xf>
    <xf numFmtId="0" fontId="14" fillId="5" borderId="1" xfId="3" applyFont="1" applyFill="1" applyBorder="1" applyAlignment="1" applyProtection="1">
      <alignment horizontal="center"/>
      <protection locked="0"/>
    </xf>
    <xf numFmtId="49" fontId="14" fillId="5" borderId="1" xfId="4" applyNumberFormat="1" applyFont="1" applyFill="1" applyBorder="1" applyAlignment="1" applyProtection="1">
      <alignment horizontal="center"/>
      <protection locked="0"/>
    </xf>
    <xf numFmtId="0" fontId="14" fillId="5" borderId="1" xfId="4" applyNumberFormat="1" applyFont="1" applyFill="1" applyBorder="1" applyAlignment="1" applyProtection="1">
      <alignment horizontal="center"/>
      <protection locked="0"/>
    </xf>
    <xf numFmtId="43" fontId="14" fillId="5" borderId="1" xfId="5" applyFont="1" applyFill="1" applyBorder="1"/>
    <xf numFmtId="0" fontId="14" fillId="5" borderId="1" xfId="2" applyFont="1" applyFill="1" applyBorder="1"/>
    <xf numFmtId="168" fontId="14" fillId="5" borderId="1" xfId="2" applyNumberFormat="1" applyFont="1" applyFill="1" applyBorder="1"/>
    <xf numFmtId="43" fontId="14" fillId="5" borderId="1" xfId="5" applyFont="1" applyFill="1" applyBorder="1" applyProtection="1">
      <protection locked="0"/>
    </xf>
    <xf numFmtId="0" fontId="17" fillId="2" borderId="44" xfId="2" applyFont="1" applyFill="1" applyBorder="1" applyAlignment="1">
      <alignment horizontal="center" vertical="center" wrapText="1"/>
    </xf>
    <xf numFmtId="168" fontId="17" fillId="2" borderId="44" xfId="2" applyNumberFormat="1" applyFont="1" applyFill="1" applyBorder="1" applyAlignment="1">
      <alignment horizontal="center" vertical="center" wrapText="1"/>
    </xf>
    <xf numFmtId="170" fontId="14" fillId="0" borderId="1" xfId="3" applyNumberFormat="1" applyFont="1" applyBorder="1" applyAlignment="1">
      <alignment horizontal="center" vertical="center"/>
    </xf>
    <xf numFmtId="4" fontId="14" fillId="0" borderId="1" xfId="3" applyNumberFormat="1" applyFont="1" applyBorder="1" applyAlignment="1">
      <alignment horizontal="center" vertical="center"/>
    </xf>
    <xf numFmtId="170" fontId="14" fillId="0" borderId="1" xfId="5" applyNumberFormat="1" applyFont="1" applyFill="1" applyBorder="1" applyAlignment="1">
      <alignment horizontal="center" vertical="center"/>
    </xf>
    <xf numFmtId="2" fontId="14" fillId="0" borderId="1" xfId="5" applyNumberFormat="1" applyFont="1" applyFill="1" applyBorder="1" applyAlignment="1">
      <alignment horizontal="center" vertical="center"/>
    </xf>
    <xf numFmtId="0" fontId="24" fillId="5" borderId="1" xfId="3" applyFont="1" applyFill="1" applyBorder="1" applyProtection="1">
      <protection locked="0"/>
    </xf>
    <xf numFmtId="0" fontId="25" fillId="5" borderId="1" xfId="3" applyFont="1" applyFill="1" applyBorder="1"/>
    <xf numFmtId="168" fontId="17" fillId="5" borderId="1" xfId="2" applyNumberFormat="1" applyFont="1" applyFill="1" applyBorder="1"/>
    <xf numFmtId="44" fontId="25" fillId="5" borderId="7" xfId="4" applyFont="1" applyFill="1" applyBorder="1" applyAlignment="1">
      <alignment vertical="top"/>
    </xf>
    <xf numFmtId="44" fontId="22" fillId="5" borderId="7" xfId="4" applyFont="1" applyFill="1" applyBorder="1" applyAlignment="1">
      <alignment vertical="top"/>
    </xf>
    <xf numFmtId="44" fontId="25" fillId="5" borderId="34" xfId="4" applyFont="1" applyFill="1" applyBorder="1" applyAlignment="1">
      <alignment vertical="top"/>
    </xf>
    <xf numFmtId="0" fontId="25" fillId="5" borderId="28" xfId="3" applyFont="1" applyFill="1" applyBorder="1"/>
    <xf numFmtId="4" fontId="0" fillId="2" borderId="1" xfId="0" applyNumberFormat="1" applyFill="1" applyBorder="1"/>
    <xf numFmtId="0" fontId="0" fillId="2" borderId="1" xfId="0" applyFill="1" applyBorder="1" applyAlignment="1">
      <alignment horizontal="left"/>
    </xf>
    <xf numFmtId="0" fontId="22" fillId="0" borderId="0" xfId="3" applyFont="1" applyAlignment="1">
      <alignment horizontal="right"/>
    </xf>
    <xf numFmtId="0" fontId="22" fillId="0" borderId="34" xfId="3" applyFont="1" applyFill="1" applyBorder="1" applyAlignment="1">
      <alignment horizontal="right" vertical="top"/>
    </xf>
    <xf numFmtId="0" fontId="22" fillId="0" borderId="34" xfId="3" applyFont="1" applyBorder="1" applyAlignment="1">
      <alignment horizontal="left" vertical="top"/>
    </xf>
    <xf numFmtId="0" fontId="17" fillId="21" borderId="0" xfId="3" applyFont="1" applyFill="1" applyAlignment="1">
      <alignment vertical="center"/>
    </xf>
    <xf numFmtId="0" fontId="25" fillId="21" borderId="0" xfId="3" applyFont="1" applyFill="1"/>
    <xf numFmtId="0" fontId="22" fillId="0" borderId="34" xfId="3" applyFont="1" applyBorder="1" applyAlignment="1">
      <alignment horizontal="right"/>
    </xf>
    <xf numFmtId="0" fontId="25" fillId="0" borderId="0" xfId="3" applyFont="1" applyFill="1"/>
    <xf numFmtId="0" fontId="17" fillId="0" borderId="0" xfId="3" applyFont="1" applyFill="1"/>
    <xf numFmtId="0" fontId="22" fillId="0" borderId="0" xfId="3" applyFont="1" applyFill="1"/>
    <xf numFmtId="0" fontId="48" fillId="0" borderId="0" xfId="3" applyFont="1" applyFill="1"/>
    <xf numFmtId="0" fontId="30" fillId="0" borderId="0" xfId="3" applyFont="1" applyFill="1"/>
    <xf numFmtId="0" fontId="22" fillId="0" borderId="0" xfId="3" applyFont="1" applyFill="1" applyAlignment="1">
      <alignment horizontal="right"/>
    </xf>
    <xf numFmtId="0" fontId="22" fillId="0" borderId="0" xfId="3" applyFont="1" applyFill="1" applyAlignment="1">
      <alignment horizontal="left"/>
    </xf>
    <xf numFmtId="0" fontId="30" fillId="0" borderId="0" xfId="3" applyFont="1" applyFill="1" applyAlignment="1">
      <alignment horizontal="right"/>
    </xf>
    <xf numFmtId="0" fontId="22" fillId="0" borderId="34" xfId="3" applyFont="1" applyFill="1" applyBorder="1" applyAlignment="1">
      <alignment vertical="top"/>
    </xf>
    <xf numFmtId="0" fontId="22" fillId="0" borderId="34" xfId="3" applyFont="1" applyFill="1" applyBorder="1" applyAlignment="1">
      <alignment horizontal="right" vertical="top" wrapText="1"/>
    </xf>
    <xf numFmtId="0" fontId="22" fillId="0" borderId="34" xfId="3" applyFont="1" applyFill="1" applyBorder="1" applyAlignment="1">
      <alignment horizontal="right"/>
    </xf>
    <xf numFmtId="0" fontId="0" fillId="0" borderId="1" xfId="0" applyBorder="1" applyAlignment="1">
      <alignment horizontal="center"/>
    </xf>
    <xf numFmtId="0" fontId="9" fillId="0" borderId="0" xfId="0" applyFont="1" applyAlignment="1">
      <alignment horizontal="left" vertical="top" wrapText="1"/>
    </xf>
    <xf numFmtId="0" fontId="0" fillId="0" borderId="0" xfId="0" applyAlignment="1">
      <alignment horizontal="left" vertical="top" wrapText="1"/>
    </xf>
    <xf numFmtId="0" fontId="25" fillId="0" borderId="34" xfId="3" applyFont="1" applyFill="1" applyBorder="1"/>
    <xf numFmtId="0" fontId="25" fillId="0" borderId="0" xfId="3" applyFont="1" applyFill="1" applyBorder="1"/>
    <xf numFmtId="0" fontId="22" fillId="0" borderId="0" xfId="3" applyFont="1" applyFill="1" applyBorder="1" applyAlignment="1">
      <alignment vertical="top"/>
    </xf>
    <xf numFmtId="0" fontId="22" fillId="0" borderId="0" xfId="3" applyFont="1" applyFill="1" applyBorder="1" applyAlignment="1">
      <alignment horizontal="right" vertical="top"/>
    </xf>
    <xf numFmtId="0" fontId="22" fillId="0" borderId="0" xfId="3" applyFont="1" applyFill="1" applyBorder="1" applyAlignment="1">
      <alignment horizontal="right" wrapText="1"/>
    </xf>
    <xf numFmtId="0" fontId="22" fillId="0" borderId="0" xfId="3" applyFont="1" applyFill="1" applyBorder="1" applyAlignment="1">
      <alignment horizontal="right"/>
    </xf>
    <xf numFmtId="0" fontId="30" fillId="0" borderId="0" xfId="3" applyFont="1" applyFill="1" applyBorder="1"/>
    <xf numFmtId="0" fontId="22" fillId="0" borderId="0" xfId="3" applyFont="1" applyFill="1" applyBorder="1" applyAlignment="1">
      <alignment horizontal="right" vertical="top" wrapText="1"/>
    </xf>
    <xf numFmtId="0" fontId="22" fillId="0" borderId="0" xfId="3" applyFont="1" applyBorder="1" applyAlignment="1">
      <alignment horizontal="right" vertical="top"/>
    </xf>
    <xf numFmtId="0" fontId="0" fillId="5" borderId="1" xfId="0" applyFill="1" applyBorder="1" applyAlignment="1">
      <alignment horizontal="center"/>
    </xf>
    <xf numFmtId="0" fontId="0" fillId="5" borderId="1" xfId="0" applyFill="1" applyBorder="1"/>
    <xf numFmtId="0" fontId="0" fillId="3" borderId="1" xfId="0" applyFill="1" applyBorder="1"/>
    <xf numFmtId="0" fontId="0" fillId="2" borderId="1" xfId="0" applyFill="1" applyBorder="1" applyAlignment="1">
      <alignment horizontal="left" indent="1"/>
    </xf>
    <xf numFmtId="0" fontId="6" fillId="2" borderId="1" xfId="0" applyFont="1" applyFill="1" applyBorder="1" applyAlignment="1">
      <alignment horizontal="center"/>
    </xf>
    <xf numFmtId="171" fontId="0" fillId="0" borderId="1" xfId="0" applyNumberFormat="1" applyBorder="1"/>
    <xf numFmtId="0" fontId="0" fillId="2" borderId="4" xfId="0" applyFill="1" applyBorder="1" applyAlignment="1">
      <alignment horizontal="left" indent="1"/>
    </xf>
    <xf numFmtId="0" fontId="6" fillId="2" borderId="44" xfId="0" applyFont="1" applyFill="1" applyBorder="1" applyAlignment="1">
      <alignment horizontal="center" wrapText="1"/>
    </xf>
    <xf numFmtId="0" fontId="6" fillId="2" borderId="47" xfId="0" applyFont="1" applyFill="1" applyBorder="1" applyAlignment="1">
      <alignment horizontal="center"/>
    </xf>
    <xf numFmtId="0" fontId="0" fillId="2" borderId="45" xfId="0" applyFill="1" applyBorder="1"/>
    <xf numFmtId="0" fontId="0" fillId="2" borderId="47" xfId="0" applyFill="1" applyBorder="1"/>
    <xf numFmtId="0" fontId="6" fillId="2" borderId="1" xfId="0" applyFont="1" applyFill="1" applyBorder="1" applyAlignment="1">
      <alignment horizontal="center" vertical="center"/>
    </xf>
    <xf numFmtId="0" fontId="9" fillId="0" borderId="45" xfId="0" applyFont="1" applyBorder="1" applyAlignment="1">
      <alignment vertical="center" wrapText="1"/>
    </xf>
    <xf numFmtId="9" fontId="0" fillId="6" borderId="1" xfId="0" applyNumberFormat="1" applyFill="1" applyBorder="1" applyAlignment="1">
      <alignment horizontal="center"/>
    </xf>
    <xf numFmtId="0" fontId="9" fillId="0" borderId="0" xfId="0" applyFont="1" applyAlignment="1">
      <alignment vertical="top"/>
    </xf>
    <xf numFmtId="0" fontId="17" fillId="2" borderId="1" xfId="3" applyFont="1" applyFill="1" applyBorder="1" applyAlignment="1">
      <alignment vertical="center" wrapText="1"/>
    </xf>
    <xf numFmtId="0" fontId="17" fillId="2" borderId="2" xfId="3" applyFont="1" applyFill="1" applyBorder="1" applyAlignment="1">
      <alignment vertical="center" wrapText="1"/>
    </xf>
    <xf numFmtId="9" fontId="14" fillId="0" borderId="1" xfId="1" applyFont="1" applyFill="1" applyBorder="1"/>
    <xf numFmtId="168" fontId="25" fillId="0" borderId="1" xfId="3" applyNumberFormat="1" applyFont="1" applyBorder="1"/>
    <xf numFmtId="44" fontId="25" fillId="0" borderId="1" xfId="4" applyFont="1" applyFill="1" applyBorder="1" applyAlignment="1">
      <alignment vertical="top"/>
    </xf>
    <xf numFmtId="0" fontId="22" fillId="0" borderId="11" xfId="3" applyFont="1" applyBorder="1" applyAlignment="1">
      <alignment horizontal="right"/>
    </xf>
    <xf numFmtId="44" fontId="25" fillId="5" borderId="5" xfId="4" applyFont="1" applyFill="1" applyBorder="1" applyAlignment="1">
      <alignment vertical="top"/>
    </xf>
    <xf numFmtId="0" fontId="39" fillId="21" borderId="0" xfId="3" applyFont="1" applyFill="1" applyAlignment="1">
      <alignment horizontal="left" vertical="center" wrapText="1" indent="1"/>
    </xf>
    <xf numFmtId="0" fontId="40" fillId="0" borderId="0" xfId="3" applyFont="1" applyAlignment="1">
      <alignment horizontal="left" vertical="center" wrapText="1" indent="1"/>
    </xf>
    <xf numFmtId="3" fontId="0" fillId="0" borderId="0" xfId="0" applyNumberFormat="1" applyBorder="1"/>
    <xf numFmtId="3" fontId="0" fillId="0" borderId="0" xfId="0" applyNumberFormat="1" applyFill="1" applyBorder="1"/>
    <xf numFmtId="9" fontId="25" fillId="5" borderId="7" xfId="1" applyFont="1" applyFill="1" applyBorder="1" applyAlignment="1">
      <alignment vertical="top"/>
    </xf>
    <xf numFmtId="0" fontId="25" fillId="0" borderId="1" xfId="3" applyFont="1" applyBorder="1"/>
    <xf numFmtId="0" fontId="25" fillId="0" borderId="50" xfId="3" applyFont="1" applyBorder="1"/>
    <xf numFmtId="0" fontId="25" fillId="0" borderId="51" xfId="3" applyFont="1" applyBorder="1"/>
    <xf numFmtId="0" fontId="25" fillId="0" borderId="4" xfId="3" applyFont="1" applyBorder="1"/>
    <xf numFmtId="10" fontId="25" fillId="0" borderId="28" xfId="1" applyNumberFormat="1" applyFont="1" applyBorder="1" applyAlignment="1">
      <alignment horizontal="center" vertical="center"/>
    </xf>
    <xf numFmtId="10" fontId="25" fillId="0" borderId="52" xfId="1" applyNumberFormat="1" applyFont="1" applyBorder="1" applyAlignment="1">
      <alignment horizontal="center" vertical="center"/>
    </xf>
    <xf numFmtId="9" fontId="25" fillId="21" borderId="1" xfId="1" applyFont="1" applyFill="1" applyBorder="1" applyAlignment="1">
      <alignment horizontal="center" vertical="center"/>
    </xf>
    <xf numFmtId="9" fontId="25" fillId="21" borderId="28" xfId="1" applyFont="1" applyFill="1" applyBorder="1" applyAlignment="1">
      <alignment horizontal="center" vertical="center"/>
    </xf>
    <xf numFmtId="9" fontId="25" fillId="21" borderId="44" xfId="1" applyFont="1" applyFill="1" applyBorder="1" applyAlignment="1">
      <alignment horizontal="center"/>
    </xf>
    <xf numFmtId="9" fontId="25" fillId="21" borderId="1" xfId="1" applyFont="1" applyFill="1" applyBorder="1" applyAlignment="1">
      <alignment horizontal="center"/>
    </xf>
    <xf numFmtId="9" fontId="25" fillId="21" borderId="51" xfId="1" applyFont="1" applyFill="1" applyBorder="1" applyAlignment="1">
      <alignment horizontal="center"/>
    </xf>
    <xf numFmtId="9" fontId="25" fillId="21" borderId="53" xfId="1" applyFont="1" applyFill="1" applyBorder="1" applyAlignment="1">
      <alignment horizontal="center" vertical="center"/>
    </xf>
    <xf numFmtId="9" fontId="25" fillId="21" borderId="52" xfId="1" applyFont="1" applyFill="1" applyBorder="1" applyAlignment="1">
      <alignment horizontal="center" vertical="center"/>
    </xf>
    <xf numFmtId="10" fontId="25" fillId="0" borderId="1" xfId="1" applyNumberFormat="1" applyFont="1" applyFill="1" applyBorder="1"/>
    <xf numFmtId="44" fontId="25" fillId="0" borderId="1" xfId="3" applyNumberFormat="1" applyFont="1" applyBorder="1"/>
    <xf numFmtId="0" fontId="25" fillId="0" borderId="54" xfId="3" applyFont="1" applyBorder="1"/>
    <xf numFmtId="0" fontId="25" fillId="0" borderId="56" xfId="3" applyFont="1" applyBorder="1"/>
    <xf numFmtId="0" fontId="25" fillId="0" borderId="55" xfId="3" applyFont="1" applyBorder="1"/>
    <xf numFmtId="10" fontId="25" fillId="0" borderId="29" xfId="1" applyNumberFormat="1" applyFont="1" applyFill="1" applyBorder="1"/>
    <xf numFmtId="44" fontId="25" fillId="0" borderId="28" xfId="3" applyNumberFormat="1" applyFont="1" applyFill="1" applyBorder="1"/>
    <xf numFmtId="10" fontId="25" fillId="0" borderId="50" xfId="1" applyNumberFormat="1" applyFont="1" applyFill="1" applyBorder="1"/>
    <xf numFmtId="10" fontId="25" fillId="0" borderId="51" xfId="1" applyNumberFormat="1" applyFont="1" applyFill="1" applyBorder="1"/>
    <xf numFmtId="44" fontId="25" fillId="0" borderId="51" xfId="3" applyNumberFormat="1" applyFont="1" applyBorder="1"/>
    <xf numFmtId="44" fontId="25" fillId="0" borderId="52" xfId="3" applyNumberFormat="1" applyFont="1" applyFill="1" applyBorder="1"/>
    <xf numFmtId="44" fontId="25" fillId="0" borderId="28" xfId="3" applyNumberFormat="1" applyFont="1" applyBorder="1"/>
    <xf numFmtId="44" fontId="25" fillId="0" borderId="52" xfId="3" applyNumberFormat="1" applyFont="1" applyBorder="1"/>
    <xf numFmtId="0" fontId="0" fillId="0" borderId="29" xfId="0" applyBorder="1"/>
    <xf numFmtId="2" fontId="0" fillId="0" borderId="28" xfId="0" applyNumberFormat="1" applyBorder="1"/>
    <xf numFmtId="4" fontId="0" fillId="0" borderId="28" xfId="0" applyNumberFormat="1" applyBorder="1"/>
    <xf numFmtId="0" fontId="0" fillId="0" borderId="29" xfId="0" applyBorder="1" applyAlignment="1">
      <alignment horizontal="center" vertical="center"/>
    </xf>
    <xf numFmtId="2" fontId="0" fillId="0" borderId="28" xfId="0" applyNumberFormat="1" applyBorder="1" applyAlignment="1">
      <alignment horizontal="center" vertical="center"/>
    </xf>
    <xf numFmtId="4" fontId="0" fillId="0" borderId="28" xfId="0" applyNumberFormat="1" applyBorder="1" applyAlignment="1">
      <alignment horizontal="center" vertical="center"/>
    </xf>
    <xf numFmtId="0" fontId="0" fillId="0" borderId="57" xfId="0" applyBorder="1"/>
    <xf numFmtId="4" fontId="0" fillId="0" borderId="58" xfId="0" applyNumberFormat="1" applyBorder="1"/>
    <xf numFmtId="0" fontId="0" fillId="0" borderId="59" xfId="0" applyBorder="1"/>
    <xf numFmtId="4" fontId="0" fillId="0" borderId="60" xfId="0" applyNumberFormat="1" applyBorder="1"/>
    <xf numFmtId="0" fontId="0" fillId="0" borderId="57" xfId="0" applyBorder="1" applyAlignment="1">
      <alignment horizontal="center" vertical="center"/>
    </xf>
    <xf numFmtId="2" fontId="0" fillId="0" borderId="58" xfId="0" applyNumberFormat="1" applyBorder="1" applyAlignment="1">
      <alignment horizontal="center" vertical="center"/>
    </xf>
    <xf numFmtId="0" fontId="0" fillId="0" borderId="59" xfId="0" applyBorder="1" applyAlignment="1">
      <alignment horizontal="center" vertical="center"/>
    </xf>
    <xf numFmtId="2" fontId="0" fillId="0" borderId="60" xfId="0" applyNumberFormat="1" applyBorder="1" applyAlignment="1">
      <alignment horizontal="center" vertical="center"/>
    </xf>
    <xf numFmtId="4" fontId="0" fillId="0" borderId="58" xfId="0" applyNumberFormat="1" applyBorder="1" applyAlignment="1">
      <alignment horizontal="center" vertical="center"/>
    </xf>
    <xf numFmtId="4" fontId="0" fillId="0" borderId="60" xfId="0" applyNumberFormat="1" applyBorder="1" applyAlignment="1">
      <alignment horizontal="center" vertical="center"/>
    </xf>
    <xf numFmtId="0" fontId="22" fillId="5" borderId="7" xfId="3" applyFont="1" applyFill="1" applyBorder="1" applyAlignment="1">
      <alignment vertical="top"/>
    </xf>
    <xf numFmtId="2" fontId="0" fillId="22" borderId="1" xfId="0" applyNumberFormat="1" applyFill="1" applyBorder="1"/>
    <xf numFmtId="0" fontId="0" fillId="22" borderId="2" xfId="0" applyFill="1" applyBorder="1"/>
    <xf numFmtId="0" fontId="0" fillId="0" borderId="8" xfId="0" applyNumberFormat="1" applyBorder="1"/>
    <xf numFmtId="9" fontId="22" fillId="0" borderId="23" xfId="1" applyFont="1" applyBorder="1" applyAlignment="1">
      <alignment wrapText="1"/>
    </xf>
    <xf numFmtId="9" fontId="25" fillId="0" borderId="11" xfId="1" applyFont="1" applyBorder="1"/>
    <xf numFmtId="9" fontId="25" fillId="0" borderId="11" xfId="1" applyFont="1" applyFill="1" applyBorder="1" applyAlignment="1">
      <alignment vertical="top"/>
    </xf>
    <xf numFmtId="9" fontId="22" fillId="0" borderId="11" xfId="1" applyFont="1" applyFill="1" applyBorder="1" applyAlignment="1">
      <alignment vertical="top"/>
    </xf>
    <xf numFmtId="9" fontId="25" fillId="5" borderId="0" xfId="1" applyFont="1" applyFill="1" applyBorder="1" applyAlignment="1">
      <alignment vertical="top"/>
    </xf>
    <xf numFmtId="9" fontId="22" fillId="0" borderId="34" xfId="1" applyFont="1" applyFill="1" applyBorder="1" applyAlignment="1">
      <alignment vertical="top"/>
    </xf>
    <xf numFmtId="9" fontId="25" fillId="0" borderId="7" xfId="1" applyFont="1" applyFill="1" applyBorder="1" applyAlignment="1">
      <alignment vertical="top"/>
    </xf>
    <xf numFmtId="9" fontId="25" fillId="5" borderId="7" xfId="1" applyFont="1" applyFill="1" applyBorder="1" applyAlignment="1">
      <alignment vertical="center"/>
    </xf>
    <xf numFmtId="9" fontId="8" fillId="0" borderId="11" xfId="1" applyFont="1" applyBorder="1"/>
    <xf numFmtId="9" fontId="25" fillId="5" borderId="11" xfId="1" applyFont="1" applyFill="1" applyBorder="1" applyAlignment="1">
      <alignment vertical="top"/>
    </xf>
    <xf numFmtId="9" fontId="22" fillId="0" borderId="7" xfId="1" applyFont="1" applyFill="1" applyBorder="1" applyAlignment="1">
      <alignment vertical="top"/>
    </xf>
    <xf numFmtId="9" fontId="25" fillId="0" borderId="0" xfId="1" applyFont="1"/>
    <xf numFmtId="9" fontId="22" fillId="0" borderId="0" xfId="1" applyFont="1" applyFill="1" applyBorder="1" applyAlignment="1">
      <alignment vertical="top"/>
    </xf>
    <xf numFmtId="9" fontId="22" fillId="0" borderId="0" xfId="1" applyFont="1" applyAlignment="1">
      <alignment vertical="top"/>
    </xf>
    <xf numFmtId="9" fontId="25" fillId="5" borderId="34" xfId="1" applyFont="1" applyFill="1" applyBorder="1" applyAlignment="1">
      <alignment vertical="top"/>
    </xf>
    <xf numFmtId="9" fontId="22" fillId="0" borderId="11" xfId="1" applyFont="1" applyFill="1" applyBorder="1"/>
    <xf numFmtId="9" fontId="25" fillId="0" borderId="47" xfId="1" applyFont="1" applyBorder="1"/>
    <xf numFmtId="9" fontId="25" fillId="21" borderId="0" xfId="1" applyFont="1" applyFill="1"/>
    <xf numFmtId="9" fontId="14" fillId="2" borderId="1" xfId="1" applyFont="1" applyFill="1" applyBorder="1" applyAlignment="1">
      <alignment horizontal="center" vertical="center" wrapText="1"/>
    </xf>
    <xf numFmtId="9" fontId="14" fillId="5" borderId="1" xfId="1" applyFont="1" applyFill="1" applyBorder="1" applyAlignment="1" applyProtection="1">
      <alignment horizontal="center"/>
      <protection locked="0"/>
    </xf>
    <xf numFmtId="9" fontId="17" fillId="2" borderId="2" xfId="1" applyFont="1" applyFill="1" applyBorder="1" applyAlignment="1">
      <alignment vertical="center" wrapText="1"/>
    </xf>
    <xf numFmtId="9" fontId="17" fillId="2" borderId="44" xfId="1" applyFont="1" applyFill="1" applyBorder="1" applyAlignment="1">
      <alignment horizontal="center" vertical="center" wrapText="1"/>
    </xf>
    <xf numFmtId="0" fontId="0" fillId="0" borderId="0" xfId="0" applyFill="1" applyAlignment="1">
      <alignment wrapText="1"/>
    </xf>
    <xf numFmtId="0" fontId="0" fillId="2" borderId="5" xfId="0" applyFill="1" applyBorder="1" applyAlignment="1">
      <alignment vertical="top"/>
    </xf>
    <xf numFmtId="4" fontId="6" fillId="7" borderId="61" xfId="0" applyNumberFormat="1" applyFont="1" applyFill="1" applyBorder="1" applyAlignment="1">
      <alignment horizontal="right" vertical="center" indent="1"/>
    </xf>
    <xf numFmtId="0" fontId="0" fillId="0" borderId="0" xfId="0" applyFill="1" applyBorder="1" applyAlignment="1">
      <alignment vertical="top"/>
    </xf>
    <xf numFmtId="4" fontId="6" fillId="0" borderId="0" xfId="0" applyNumberFormat="1" applyFont="1" applyFill="1" applyBorder="1" applyAlignment="1">
      <alignment horizontal="right" vertical="center" indent="1"/>
    </xf>
    <xf numFmtId="49" fontId="0" fillId="0" borderId="0" xfId="0" applyNumberFormat="1"/>
    <xf numFmtId="0" fontId="0" fillId="0" borderId="1" xfId="0" applyBorder="1" applyAlignment="1">
      <alignment horizontal="center" vertical="center"/>
    </xf>
    <xf numFmtId="0" fontId="0" fillId="0" borderId="1" xfId="0" applyBorder="1" applyAlignment="1">
      <alignment horizontal="center"/>
    </xf>
    <xf numFmtId="0" fontId="9" fillId="0" borderId="0" xfId="0" applyFont="1" applyAlignment="1">
      <alignment horizontal="center"/>
    </xf>
    <xf numFmtId="9" fontId="25" fillId="0" borderId="34" xfId="1" applyFont="1" applyBorder="1"/>
    <xf numFmtId="0" fontId="17" fillId="0" borderId="0" xfId="2" applyFont="1" applyAlignment="1">
      <alignment horizontal="left" vertical="center" wrapText="1"/>
    </xf>
    <xf numFmtId="4" fontId="0" fillId="2" borderId="1" xfId="0" applyNumberFormat="1" applyFill="1" applyBorder="1" applyAlignment="1">
      <alignment horizontal="left" vertical="top" wrapText="1" indent="1"/>
    </xf>
    <xf numFmtId="4" fontId="0" fillId="5" borderId="1" xfId="0" applyNumberFormat="1" applyFill="1" applyBorder="1" applyAlignment="1">
      <alignment horizontal="left" vertical="top" wrapText="1" indent="1"/>
    </xf>
    <xf numFmtId="0" fontId="0" fillId="5" borderId="1" xfId="0" applyFill="1" applyBorder="1" applyAlignment="1">
      <alignment horizontal="left" vertical="top" wrapText="1" indent="1"/>
    </xf>
    <xf numFmtId="4" fontId="35" fillId="5" borderId="1" xfId="7" applyNumberFormat="1" applyFill="1" applyBorder="1" applyAlignment="1">
      <alignment horizontal="left" vertical="top" wrapText="1" indent="1"/>
    </xf>
    <xf numFmtId="4" fontId="0" fillId="5" borderId="1" xfId="0" applyNumberFormat="1" applyFill="1" applyBorder="1" applyAlignment="1">
      <alignment horizontal="left" vertical="top" inden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4" fontId="6" fillId="7" borderId="2" xfId="0" applyNumberFormat="1" applyFont="1" applyFill="1" applyBorder="1" applyAlignment="1">
      <alignment horizontal="center" vertical="center"/>
    </xf>
    <xf numFmtId="4" fontId="6" fillId="7" borderId="3" xfId="0" applyNumberFormat="1" applyFont="1" applyFill="1" applyBorder="1" applyAlignment="1">
      <alignment horizontal="center" vertical="center"/>
    </xf>
    <xf numFmtId="4" fontId="6" fillId="7" borderId="4" xfId="0" applyNumberFormat="1" applyFont="1" applyFill="1" applyBorder="1" applyAlignment="1">
      <alignment horizontal="center" vertical="center"/>
    </xf>
    <xf numFmtId="0" fontId="17" fillId="2" borderId="38" xfId="2" applyFont="1" applyFill="1" applyBorder="1" applyAlignment="1">
      <alignment horizontal="center" vertical="center"/>
    </xf>
    <xf numFmtId="0" fontId="17" fillId="2" borderId="37" xfId="2" applyFont="1" applyFill="1" applyBorder="1" applyAlignment="1">
      <alignment horizontal="center" vertical="center"/>
    </xf>
    <xf numFmtId="0" fontId="17" fillId="2" borderId="43" xfId="2" applyFont="1" applyFill="1" applyBorder="1" applyAlignment="1">
      <alignment horizontal="center" vertical="center"/>
    </xf>
    <xf numFmtId="0" fontId="17" fillId="2" borderId="47" xfId="2" applyFont="1" applyFill="1" applyBorder="1" applyAlignment="1">
      <alignment horizontal="center" vertical="center" wrapText="1"/>
    </xf>
    <xf numFmtId="0" fontId="17" fillId="2" borderId="22" xfId="2" applyFont="1" applyFill="1" applyBorder="1" applyAlignment="1">
      <alignment horizontal="center" vertical="center" wrapText="1"/>
    </xf>
    <xf numFmtId="0" fontId="17" fillId="2" borderId="3" xfId="2" applyFont="1" applyFill="1" applyBorder="1" applyAlignment="1">
      <alignment horizontal="center" vertical="center" wrapText="1"/>
    </xf>
    <xf numFmtId="0" fontId="17" fillId="2" borderId="48" xfId="2" applyFont="1" applyFill="1" applyBorder="1" applyAlignment="1">
      <alignment horizontal="center" vertical="center" wrapText="1"/>
    </xf>
    <xf numFmtId="0" fontId="17" fillId="2" borderId="49"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17" fillId="0" borderId="2" xfId="2" applyFont="1" applyBorder="1" applyAlignment="1">
      <alignment horizontal="right"/>
    </xf>
    <xf numFmtId="0" fontId="17" fillId="0" borderId="3" xfId="2" applyFont="1" applyBorder="1" applyAlignment="1">
      <alignment horizontal="right"/>
    </xf>
    <xf numFmtId="0" fontId="17" fillId="0" borderId="4" xfId="2" applyFont="1" applyBorder="1" applyAlignment="1">
      <alignment horizontal="right"/>
    </xf>
    <xf numFmtId="0" fontId="14" fillId="0" borderId="0" xfId="2" applyFont="1" applyAlignment="1">
      <alignment horizontal="right"/>
    </xf>
    <xf numFmtId="0" fontId="17" fillId="2" borderId="1" xfId="2" applyFont="1" applyFill="1" applyBorder="1" applyAlignment="1">
      <alignment horizontal="center" vertical="center" wrapText="1"/>
    </xf>
    <xf numFmtId="0" fontId="17" fillId="2" borderId="1" xfId="2" applyFont="1" applyFill="1" applyBorder="1" applyAlignment="1">
      <alignment horizontal="center" vertical="center"/>
    </xf>
    <xf numFmtId="0" fontId="17" fillId="2" borderId="38" xfId="2" applyFont="1" applyFill="1" applyBorder="1" applyAlignment="1">
      <alignment horizontal="center" vertical="center" wrapText="1"/>
    </xf>
    <xf numFmtId="0" fontId="17" fillId="0" borderId="1" xfId="2" applyFont="1" applyBorder="1" applyAlignment="1">
      <alignment horizontal="right"/>
    </xf>
    <xf numFmtId="0" fontId="17" fillId="2" borderId="1" xfId="3" applyFont="1" applyFill="1" applyBorder="1" applyAlignment="1">
      <alignment horizontal="center" vertical="center" wrapText="1"/>
    </xf>
    <xf numFmtId="0" fontId="17" fillId="2" borderId="1" xfId="3" applyFont="1" applyFill="1" applyBorder="1" applyAlignment="1">
      <alignment horizontal="center" vertical="center"/>
    </xf>
    <xf numFmtId="2" fontId="9" fillId="0" borderId="0" xfId="0" applyNumberFormat="1" applyFont="1" applyAlignment="1">
      <alignment horizontal="left" vertical="top" wrapText="1"/>
    </xf>
    <xf numFmtId="0" fontId="6" fillId="10" borderId="1" xfId="0" applyFont="1" applyFill="1" applyBorder="1" applyAlignment="1">
      <alignment horizontal="center"/>
    </xf>
    <xf numFmtId="0" fontId="1" fillId="0" borderId="11" xfId="0"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0" fontId="9" fillId="0" borderId="0" xfId="0" applyFont="1" applyAlignment="1">
      <alignment horizontal="left" vertical="top" wrapText="1"/>
    </xf>
    <xf numFmtId="0" fontId="0" fillId="0" borderId="0" xfId="0" applyAlignment="1">
      <alignment horizontal="left" vertical="top" wrapText="1"/>
    </xf>
    <xf numFmtId="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5" borderId="1" xfId="0" applyFill="1" applyBorder="1" applyAlignment="1" applyProtection="1">
      <alignment horizontal="center" vertical="center" wrapText="1"/>
      <protection locked="0"/>
    </xf>
    <xf numFmtId="0" fontId="9" fillId="0" borderId="0" xfId="0" applyFont="1" applyAlignment="1">
      <alignment horizontal="center" vertical="top" wrapText="1"/>
    </xf>
    <xf numFmtId="0" fontId="0" fillId="7" borderId="1" xfId="0" applyFill="1" applyBorder="1" applyAlignment="1">
      <alignment horizontal="center" vertical="center"/>
    </xf>
    <xf numFmtId="0" fontId="22" fillId="15" borderId="38" xfId="3" applyFont="1" applyFill="1" applyBorder="1" applyAlignment="1">
      <alignment horizontal="left"/>
    </xf>
    <xf numFmtId="0" fontId="22" fillId="15" borderId="37" xfId="3" applyFont="1" applyFill="1" applyBorder="1" applyAlignment="1">
      <alignment horizontal="left"/>
    </xf>
    <xf numFmtId="0" fontId="29" fillId="19" borderId="33" xfId="3" applyFont="1" applyFill="1" applyBorder="1" applyAlignment="1">
      <alignment horizontal="center"/>
    </xf>
    <xf numFmtId="0" fontId="29" fillId="19" borderId="42" xfId="3" applyFont="1" applyFill="1" applyBorder="1" applyAlignment="1">
      <alignment horizontal="center"/>
    </xf>
    <xf numFmtId="0" fontId="28" fillId="0" borderId="41" xfId="3" applyFont="1" applyBorder="1" applyAlignment="1">
      <alignment horizontal="center" vertical="center" wrapText="1"/>
    </xf>
    <xf numFmtId="0" fontId="28" fillId="0" borderId="39" xfId="3" applyFont="1" applyBorder="1" applyAlignment="1">
      <alignment horizontal="center" vertical="center" wrapText="1"/>
    </xf>
    <xf numFmtId="0" fontId="22" fillId="17" borderId="38" xfId="3" applyFont="1" applyFill="1" applyBorder="1" applyAlignment="1">
      <alignment horizontal="left" vertical="top"/>
    </xf>
    <xf numFmtId="0" fontId="22" fillId="17" borderId="37" xfId="3" applyFont="1" applyFill="1" applyBorder="1" applyAlignment="1">
      <alignment horizontal="left" vertical="top"/>
    </xf>
    <xf numFmtId="0" fontId="8" fillId="0" borderId="1" xfId="0" applyFont="1" applyBorder="1" applyAlignment="1">
      <alignment horizontal="left" vertical="top"/>
    </xf>
    <xf numFmtId="0" fontId="8" fillId="0" borderId="28" xfId="0" applyFont="1" applyBorder="1" applyAlignment="1">
      <alignment horizontal="left" vertical="top"/>
    </xf>
    <xf numFmtId="0" fontId="8" fillId="0" borderId="38" xfId="0" applyFont="1" applyBorder="1" applyAlignment="1">
      <alignment horizontal="center" vertical="top"/>
    </xf>
    <xf numFmtId="0" fontId="8" fillId="0" borderId="37" xfId="0" applyFont="1" applyBorder="1" applyAlignment="1">
      <alignment horizontal="center" vertical="top"/>
    </xf>
    <xf numFmtId="0" fontId="8" fillId="0" borderId="43" xfId="0" applyFont="1" applyBorder="1" applyAlignment="1">
      <alignment horizontal="center" vertical="top"/>
    </xf>
    <xf numFmtId="0" fontId="25" fillId="0" borderId="54" xfId="3" applyFont="1" applyBorder="1" applyAlignment="1">
      <alignment horizontal="center"/>
    </xf>
    <xf numFmtId="0" fontId="25" fillId="0" borderId="55" xfId="3" applyFont="1" applyBorder="1" applyAlignment="1">
      <alignment horizontal="center"/>
    </xf>
    <xf numFmtId="0" fontId="0" fillId="2" borderId="2"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xf>
    <xf numFmtId="0" fontId="0" fillId="2" borderId="34" xfId="0" applyFill="1" applyBorder="1" applyAlignment="1">
      <alignment horizontal="center"/>
    </xf>
    <xf numFmtId="0" fontId="0" fillId="2" borderId="44" xfId="0" applyFill="1" applyBorder="1" applyAlignment="1">
      <alignment horizontal="center"/>
    </xf>
    <xf numFmtId="0" fontId="0" fillId="0" borderId="22" xfId="0" applyBorder="1" applyAlignment="1">
      <alignment horizontal="center"/>
    </xf>
    <xf numFmtId="0" fontId="0" fillId="0" borderId="0" xfId="0" applyAlignment="1">
      <alignment horizontal="center"/>
    </xf>
    <xf numFmtId="0" fontId="6" fillId="2" borderId="1" xfId="0" applyFont="1" applyFill="1" applyBorder="1" applyAlignment="1">
      <alignment horizontal="center"/>
    </xf>
    <xf numFmtId="0" fontId="0" fillId="0" borderId="2" xfId="0" quotePrefix="1" applyBorder="1" applyAlignment="1">
      <alignment horizontal="left" indent="1"/>
    </xf>
    <xf numFmtId="0" fontId="0" fillId="0" borderId="3" xfId="0" quotePrefix="1" applyBorder="1" applyAlignment="1">
      <alignment horizontal="left" indent="1"/>
    </xf>
    <xf numFmtId="0" fontId="0" fillId="0" borderId="4" xfId="0" quotePrefix="1" applyBorder="1" applyAlignment="1">
      <alignment horizontal="left" indent="1"/>
    </xf>
    <xf numFmtId="0" fontId="0" fillId="3" borderId="0" xfId="0" applyFill="1" applyAlignment="1">
      <alignment horizontal="center" wrapText="1"/>
    </xf>
    <xf numFmtId="0" fontId="0" fillId="3" borderId="0" xfId="0" applyFill="1" applyAlignment="1">
      <alignment horizontal="center"/>
    </xf>
    <xf numFmtId="0" fontId="0" fillId="2" borderId="1" xfId="0" applyFill="1" applyBorder="1" applyAlignment="1">
      <alignment horizontal="center" vertical="top" wrapText="1"/>
    </xf>
    <xf numFmtId="0" fontId="5" fillId="0" borderId="1" xfId="0" applyFont="1" applyBorder="1" applyAlignment="1">
      <alignment horizontal="center" vertical="center" wrapTex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0" fontId="0" fillId="0" borderId="4" xfId="0" applyBorder="1" applyAlignment="1">
      <alignment horizontal="left" vertical="center" wrapText="1" inden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4" xfId="0" applyBorder="1" applyAlignment="1">
      <alignment horizontal="center" wrapText="1"/>
    </xf>
    <xf numFmtId="0" fontId="0" fillId="0" borderId="55" xfId="0" applyBorder="1" applyAlignment="1">
      <alignment horizontal="center" wrapText="1"/>
    </xf>
    <xf numFmtId="0" fontId="0" fillId="0" borderId="54" xfId="0" applyBorder="1" applyAlignment="1">
      <alignment horizontal="center"/>
    </xf>
    <xf numFmtId="0" fontId="0" fillId="0" borderId="55" xfId="0" applyBorder="1" applyAlignment="1">
      <alignment horizontal="center"/>
    </xf>
    <xf numFmtId="0" fontId="17" fillId="2" borderId="38" xfId="2" applyFont="1" applyFill="1" applyBorder="1" applyAlignment="1">
      <alignment vertical="center"/>
    </xf>
    <xf numFmtId="0" fontId="17" fillId="2" borderId="37" xfId="2" applyFont="1" applyFill="1" applyBorder="1" applyAlignment="1">
      <alignment vertical="center"/>
    </xf>
    <xf numFmtId="0" fontId="17" fillId="2" borderId="43" xfId="2" applyFont="1" applyFill="1" applyBorder="1" applyAlignment="1">
      <alignment vertical="center"/>
    </xf>
    <xf numFmtId="0" fontId="16" fillId="5" borderId="42" xfId="2" applyFont="1" applyFill="1" applyBorder="1" applyAlignment="1">
      <alignment vertical="center"/>
    </xf>
    <xf numFmtId="0" fontId="16" fillId="5" borderId="32" xfId="2" applyFont="1" applyFill="1" applyBorder="1" applyAlignment="1">
      <alignment vertical="center"/>
    </xf>
    <xf numFmtId="0" fontId="16" fillId="5" borderId="25" xfId="2" applyFont="1" applyFill="1" applyBorder="1" applyAlignment="1">
      <alignment vertical="center"/>
    </xf>
    <xf numFmtId="0" fontId="16" fillId="5" borderId="35" xfId="2" applyFont="1" applyFill="1" applyBorder="1" applyAlignment="1">
      <alignment vertical="center"/>
    </xf>
    <xf numFmtId="0" fontId="16" fillId="5" borderId="24" xfId="2" applyFont="1" applyFill="1" applyBorder="1" applyAlignment="1">
      <alignment vertical="center"/>
    </xf>
    <xf numFmtId="0" fontId="17" fillId="0" borderId="63" xfId="2" applyFont="1" applyBorder="1" applyAlignment="1">
      <alignment vertical="center"/>
    </xf>
    <xf numFmtId="0" fontId="17" fillId="0" borderId="62" xfId="2" applyFont="1" applyBorder="1" applyAlignment="1">
      <alignment vertical="center"/>
    </xf>
    <xf numFmtId="0" fontId="17" fillId="2" borderId="22" xfId="3" applyFont="1" applyFill="1" applyBorder="1" applyAlignment="1">
      <alignment vertical="center" wrapText="1"/>
    </xf>
    <xf numFmtId="0" fontId="17" fillId="2" borderId="45" xfId="3" applyFont="1" applyFill="1" applyBorder="1" applyAlignment="1">
      <alignment vertical="center" wrapText="1"/>
    </xf>
    <xf numFmtId="0" fontId="17" fillId="2" borderId="47" xfId="3" applyFont="1" applyFill="1" applyBorder="1" applyAlignment="1">
      <alignment vertical="center"/>
    </xf>
    <xf numFmtId="0" fontId="17" fillId="2" borderId="22" xfId="3" applyFont="1" applyFill="1" applyBorder="1" applyAlignment="1">
      <alignment vertical="center"/>
    </xf>
    <xf numFmtId="0" fontId="0" fillId="0" borderId="1" xfId="0" applyBorder="1" applyAlignment="1"/>
    <xf numFmtId="0" fontId="0" fillId="5" borderId="23" xfId="0" applyFill="1" applyBorder="1" applyAlignment="1" applyProtection="1">
      <protection locked="0"/>
    </xf>
    <xf numFmtId="0" fontId="0" fillId="5" borderId="19" xfId="0" applyFill="1" applyBorder="1" applyAlignment="1" applyProtection="1">
      <protection locked="0"/>
    </xf>
    <xf numFmtId="0" fontId="0" fillId="5" borderId="46" xfId="0" applyFill="1" applyBorder="1" applyAlignment="1" applyProtection="1">
      <protection locked="0"/>
    </xf>
    <xf numFmtId="0" fontId="0" fillId="5" borderId="11" xfId="0" applyFill="1" applyBorder="1" applyAlignment="1" applyProtection="1">
      <protection locked="0"/>
    </xf>
    <xf numFmtId="0" fontId="0" fillId="5" borderId="0" xfId="0" applyFill="1" applyBorder="1" applyAlignment="1" applyProtection="1">
      <protection locked="0"/>
    </xf>
    <xf numFmtId="0" fontId="0" fillId="5" borderId="7" xfId="0" applyFill="1" applyBorder="1" applyAlignment="1" applyProtection="1">
      <protection locked="0"/>
    </xf>
    <xf numFmtId="0" fontId="0" fillId="5" borderId="47" xfId="0" applyFill="1" applyBorder="1" applyAlignment="1" applyProtection="1">
      <protection locked="0"/>
    </xf>
    <xf numFmtId="0" fontId="0" fillId="5" borderId="22" xfId="0" applyFill="1" applyBorder="1" applyAlignment="1" applyProtection="1">
      <protection locked="0"/>
    </xf>
    <xf numFmtId="0" fontId="0" fillId="5" borderId="45" xfId="0" applyFill="1" applyBorder="1" applyAlignment="1" applyProtection="1">
      <protection locked="0"/>
    </xf>
    <xf numFmtId="0" fontId="6" fillId="11" borderId="2" xfId="0" applyFont="1" applyFill="1" applyBorder="1" applyAlignment="1"/>
    <xf numFmtId="0" fontId="6" fillId="11" borderId="3" xfId="0" applyFont="1" applyFill="1" applyBorder="1" applyAlignment="1"/>
    <xf numFmtId="0" fontId="6" fillId="11" borderId="4" xfId="0" applyFont="1" applyFill="1" applyBorder="1" applyAlignment="1"/>
    <xf numFmtId="0" fontId="3" fillId="3" borderId="2" xfId="0" applyFont="1" applyFill="1" applyBorder="1" applyAlignment="1"/>
    <xf numFmtId="0" fontId="3" fillId="3" borderId="3" xfId="0" applyFont="1" applyFill="1" applyBorder="1" applyAlignment="1"/>
    <xf numFmtId="0" fontId="3" fillId="3" borderId="4" xfId="0" applyFont="1" applyFill="1" applyBorder="1" applyAlignment="1"/>
    <xf numFmtId="0" fontId="13" fillId="0" borderId="19" xfId="0" applyFont="1" applyBorder="1" applyAlignment="1">
      <alignment vertical="center" wrapText="1"/>
    </xf>
    <xf numFmtId="0" fontId="6" fillId="10" borderId="2" xfId="0" applyFont="1" applyFill="1" applyBorder="1" applyAlignment="1"/>
    <xf numFmtId="0" fontId="6" fillId="10" borderId="3" xfId="0" applyFont="1" applyFill="1" applyBorder="1" applyAlignment="1"/>
    <xf numFmtId="0" fontId="6" fillId="10" borderId="4" xfId="0" applyFont="1" applyFill="1" applyBorder="1" applyAlignment="1"/>
    <xf numFmtId="0" fontId="0" fillId="7" borderId="2" xfId="0" applyFill="1" applyBorder="1" applyAlignment="1"/>
    <xf numFmtId="0" fontId="0" fillId="7" borderId="4" xfId="0" applyFill="1" applyBorder="1" applyAlignment="1"/>
    <xf numFmtId="3" fontId="0" fillId="0" borderId="12" xfId="0" applyNumberFormat="1" applyBorder="1" applyAlignment="1"/>
    <xf numFmtId="3" fontId="0" fillId="0" borderId="13" xfId="0" applyNumberFormat="1" applyBorder="1" applyAlignment="1"/>
    <xf numFmtId="3" fontId="0" fillId="0" borderId="14" xfId="0" applyNumberFormat="1" applyBorder="1" applyAlignment="1"/>
    <xf numFmtId="3" fontId="0" fillId="0" borderId="15" xfId="0" applyNumberFormat="1" applyBorder="1" applyAlignment="1"/>
    <xf numFmtId="0" fontId="0" fillId="2" borderId="2" xfId="0" applyFill="1" applyBorder="1" applyAlignment="1"/>
    <xf numFmtId="0" fontId="0" fillId="2" borderId="3" xfId="0" applyFill="1" applyBorder="1" applyAlignment="1"/>
    <xf numFmtId="0" fontId="0" fillId="2" borderId="4" xfId="0" applyFill="1" applyBorder="1" applyAlignment="1"/>
    <xf numFmtId="2" fontId="0" fillId="0" borderId="18" xfId="0" applyNumberFormat="1" applyBorder="1" applyAlignment="1"/>
    <xf numFmtId="0" fontId="0" fillId="0" borderId="18" xfId="0" applyBorder="1" applyAlignment="1"/>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10" fillId="5" borderId="1" xfId="0" applyFont="1" applyFill="1" applyBorder="1" applyAlignment="1" applyProtection="1">
      <alignment vertical="center"/>
      <protection locked="0"/>
    </xf>
    <xf numFmtId="0" fontId="10" fillId="5" borderId="2" xfId="0" applyFont="1" applyFill="1" applyBorder="1" applyAlignment="1" applyProtection="1">
      <alignment vertical="center"/>
      <protection locked="0"/>
    </xf>
    <xf numFmtId="0" fontId="10" fillId="5" borderId="3" xfId="0" applyFont="1" applyFill="1" applyBorder="1" applyAlignment="1" applyProtection="1">
      <alignment vertical="center"/>
      <protection locked="0"/>
    </xf>
    <xf numFmtId="0" fontId="10" fillId="5" borderId="4" xfId="0" applyFont="1" applyFill="1" applyBorder="1" applyAlignment="1" applyProtection="1">
      <alignment vertical="center"/>
      <protection locked="0"/>
    </xf>
    <xf numFmtId="0" fontId="9" fillId="0" borderId="0" xfId="0" applyFont="1" applyAlignment="1">
      <alignment vertical="top" wrapText="1"/>
    </xf>
    <xf numFmtId="0" fontId="0" fillId="0" borderId="5" xfId="0" applyBorder="1" applyAlignment="1">
      <alignment vertical="center"/>
    </xf>
    <xf numFmtId="0" fontId="0" fillId="0" borderId="34" xfId="0" applyBorder="1" applyAlignment="1">
      <alignment vertical="center"/>
    </xf>
    <xf numFmtId="0" fontId="0" fillId="0" borderId="44" xfId="0" applyBorder="1" applyAlignment="1">
      <alignment vertical="center"/>
    </xf>
    <xf numFmtId="0" fontId="0" fillId="0" borderId="16" xfId="0" applyBorder="1" applyAlignment="1"/>
    <xf numFmtId="4" fontId="0" fillId="4" borderId="2" xfId="0" applyNumberFormat="1" applyFill="1" applyBorder="1" applyAlignment="1"/>
    <xf numFmtId="4" fontId="0" fillId="4" borderId="4" xfId="0" applyNumberFormat="1" applyFill="1" applyBorder="1" applyAlignment="1"/>
    <xf numFmtId="166" fontId="9" fillId="8" borderId="11" xfId="0" applyNumberFormat="1" applyFont="1" applyFill="1" applyBorder="1" applyAlignment="1">
      <alignment vertical="center" wrapText="1"/>
    </xf>
    <xf numFmtId="166" fontId="37" fillId="8" borderId="11" xfId="0" applyNumberFormat="1" applyFont="1" applyFill="1" applyBorder="1" applyAlignment="1">
      <alignment vertical="center" wrapText="1"/>
    </xf>
    <xf numFmtId="0" fontId="9" fillId="2" borderId="2" xfId="0" applyFont="1" applyFill="1" applyBorder="1" applyAlignment="1">
      <alignment wrapText="1"/>
    </xf>
    <xf numFmtId="0" fontId="9" fillId="2" borderId="4" xfId="0" applyFont="1" applyFill="1" applyBorder="1" applyAlignment="1">
      <alignment wrapText="1"/>
    </xf>
    <xf numFmtId="4" fontId="0" fillId="4" borderId="17" xfId="0" applyNumberFormat="1" applyFill="1" applyBorder="1" applyAlignment="1"/>
    <xf numFmtId="0" fontId="0" fillId="4" borderId="17" xfId="0" applyFill="1" applyBorder="1" applyAlignment="1"/>
    <xf numFmtId="3" fontId="0" fillId="0" borderId="20" xfId="0" applyNumberFormat="1" applyBorder="1" applyAlignment="1"/>
    <xf numFmtId="3" fontId="0" fillId="0" borderId="21" xfId="0" applyNumberFormat="1" applyBorder="1" applyAlignment="1"/>
    <xf numFmtId="0" fontId="9" fillId="0" borderId="0" xfId="0" applyFont="1" applyAlignment="1"/>
    <xf numFmtId="0" fontId="9" fillId="0" borderId="0" xfId="0" applyFont="1" applyAlignment="1">
      <alignment wrapText="1"/>
    </xf>
    <xf numFmtId="0" fontId="9" fillId="0" borderId="22" xfId="0" applyFont="1" applyBorder="1" applyAlignment="1"/>
    <xf numFmtId="0" fontId="9" fillId="0" borderId="0" xfId="0" applyFont="1" applyAlignment="1">
      <alignment vertical="center"/>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0" fillId="0" borderId="2" xfId="0" applyBorder="1" applyAlignment="1"/>
    <xf numFmtId="0" fontId="0" fillId="0" borderId="3" xfId="0" applyBorder="1" applyAlignment="1"/>
    <xf numFmtId="0" fontId="0" fillId="0" borderId="4" xfId="0" applyBorder="1" applyAlignment="1"/>
    <xf numFmtId="4" fontId="49" fillId="17" borderId="2" xfId="0" applyNumberFormat="1" applyFont="1" applyFill="1" applyBorder="1" applyAlignment="1"/>
    <xf numFmtId="4" fontId="49" fillId="17" borderId="3" xfId="0" applyNumberFormat="1" applyFont="1" applyFill="1" applyBorder="1" applyAlignment="1"/>
    <xf numFmtId="4" fontId="49" fillId="17" borderId="4" xfId="0" applyNumberFormat="1" applyFont="1" applyFill="1" applyBorder="1" applyAlignment="1"/>
    <xf numFmtId="0" fontId="0" fillId="2" borderId="23" xfId="0" applyFill="1" applyBorder="1" applyAlignment="1"/>
    <xf numFmtId="0" fontId="0" fillId="2" borderId="46" xfId="0" applyFill="1" applyBorder="1" applyAlignment="1"/>
    <xf numFmtId="0" fontId="0" fillId="2" borderId="11" xfId="0" applyFill="1" applyBorder="1" applyAlignment="1"/>
    <xf numFmtId="0" fontId="0" fillId="2" borderId="7" xfId="0" applyFill="1" applyBorder="1" applyAlignment="1"/>
    <xf numFmtId="0" fontId="0" fillId="2" borderId="47" xfId="0" applyFill="1" applyBorder="1" applyAlignment="1"/>
    <xf numFmtId="0" fontId="0" fillId="2" borderId="45" xfId="0" applyFill="1" applyBorder="1" applyAlignment="1"/>
    <xf numFmtId="4" fontId="6" fillId="3" borderId="2" xfId="0" applyNumberFormat="1" applyFont="1" applyFill="1" applyBorder="1" applyAlignment="1"/>
    <xf numFmtId="4" fontId="6" fillId="3" borderId="3" xfId="0" applyNumberFormat="1" applyFont="1" applyFill="1" applyBorder="1" applyAlignment="1"/>
    <xf numFmtId="4" fontId="6" fillId="3" borderId="4" xfId="0" applyNumberFormat="1" applyFont="1" applyFill="1" applyBorder="1" applyAlignment="1"/>
    <xf numFmtId="0" fontId="0" fillId="0" borderId="19" xfId="0" applyBorder="1" applyAlignment="1"/>
    <xf numFmtId="0" fontId="50" fillId="5" borderId="35" xfId="2" applyFont="1" applyFill="1" applyBorder="1" applyAlignment="1">
      <alignment vertical="center"/>
    </xf>
    <xf numFmtId="0" fontId="50" fillId="5" borderId="33" xfId="2" applyFont="1" applyFill="1" applyBorder="1" applyAlignment="1">
      <alignment vertical="center"/>
    </xf>
    <xf numFmtId="0" fontId="14" fillId="0" borderId="0" xfId="0" applyFont="1"/>
    <xf numFmtId="0" fontId="52" fillId="0" borderId="0" xfId="0" applyFont="1" applyAlignment="1">
      <alignment horizontal="center"/>
    </xf>
    <xf numFmtId="0" fontId="53" fillId="0" borderId="19" xfId="0" applyFont="1" applyBorder="1" applyAlignment="1">
      <alignment vertical="center"/>
    </xf>
    <xf numFmtId="0" fontId="14" fillId="0" borderId="0" xfId="0" applyFont="1" applyAlignment="1">
      <alignment wrapText="1"/>
    </xf>
    <xf numFmtId="4" fontId="14" fillId="0" borderId="0" xfId="0" applyNumberFormat="1" applyFont="1"/>
    <xf numFmtId="2" fontId="52" fillId="0" borderId="0" xfId="0" applyNumberFormat="1" applyFont="1" applyAlignment="1">
      <alignment horizontal="left" vertical="top" wrapText="1"/>
    </xf>
    <xf numFmtId="0" fontId="52" fillId="0" borderId="0" xfId="0" applyFont="1" applyAlignment="1">
      <alignment horizontal="left" vertical="top" wrapText="1"/>
    </xf>
    <xf numFmtId="0" fontId="52" fillId="0" borderId="0" xfId="0" applyFont="1" applyAlignment="1">
      <alignment vertical="top" wrapText="1"/>
    </xf>
    <xf numFmtId="0" fontId="52" fillId="0" borderId="0" xfId="0" applyFont="1" applyAlignment="1">
      <alignment horizontal="center" vertical="top" wrapText="1"/>
    </xf>
    <xf numFmtId="0" fontId="52" fillId="0" borderId="0" xfId="0" applyFont="1" applyAlignment="1"/>
    <xf numFmtId="0" fontId="52" fillId="0" borderId="0" xfId="0" applyFont="1" applyAlignment="1">
      <alignment vertical="top"/>
    </xf>
    <xf numFmtId="166" fontId="52" fillId="8" borderId="23" xfId="0" applyNumberFormat="1" applyFont="1" applyFill="1" applyBorder="1" applyAlignment="1">
      <alignment vertical="center" wrapText="1"/>
    </xf>
    <xf numFmtId="166" fontId="52" fillId="8" borderId="11" xfId="0" applyNumberFormat="1" applyFont="1" applyFill="1" applyBorder="1" applyAlignment="1">
      <alignment vertical="center"/>
    </xf>
    <xf numFmtId="166" fontId="52" fillId="8" borderId="11" xfId="0" applyNumberFormat="1" applyFont="1" applyFill="1" applyBorder="1" applyAlignment="1">
      <alignment vertical="center" wrapText="1"/>
    </xf>
    <xf numFmtId="166" fontId="54" fillId="8" borderId="23" xfId="0" applyNumberFormat="1" applyFont="1" applyFill="1" applyBorder="1" applyAlignment="1">
      <alignment vertical="center" wrapText="1"/>
    </xf>
    <xf numFmtId="166" fontId="54" fillId="8" borderId="11" xfId="0" applyNumberFormat="1" applyFont="1" applyFill="1" applyBorder="1" applyAlignment="1">
      <alignment vertical="center" wrapText="1"/>
    </xf>
    <xf numFmtId="0" fontId="52" fillId="0" borderId="11" xfId="0" applyFont="1" applyBorder="1" applyAlignment="1">
      <alignment vertical="center"/>
    </xf>
    <xf numFmtId="0" fontId="52" fillId="0" borderId="47" xfId="0" applyFont="1" applyBorder="1" applyAlignment="1">
      <alignment vertical="center"/>
    </xf>
  </cellXfs>
  <cellStyles count="8">
    <cellStyle name="Komma 2" xfId="5" xr:uid="{00000000-0005-0000-0000-000000000000}"/>
    <cellStyle name="Link" xfId="7" builtinId="8"/>
    <cellStyle name="Prozent" xfId="1" builtinId="5"/>
    <cellStyle name="Prozent 2" xfId="6" xr:uid="{00000000-0005-0000-0000-000003000000}"/>
    <cellStyle name="Standard" xfId="0" builtinId="0"/>
    <cellStyle name="Standard 2" xfId="2" xr:uid="{00000000-0005-0000-0000-000005000000}"/>
    <cellStyle name="Standard 3" xfId="3" xr:uid="{00000000-0005-0000-0000-000006000000}"/>
    <cellStyle name="Währung 2" xfId="4" xr:uid="{00000000-0005-0000-0000-000007000000}"/>
  </cellStyles>
  <dxfs count="28">
    <dxf>
      <font>
        <color rgb="FF9C0006"/>
      </font>
      <fill>
        <patternFill>
          <bgColor rgb="FFFFC7CE"/>
        </patternFill>
      </fill>
    </dxf>
    <dxf>
      <font>
        <color rgb="FF9C0006"/>
      </font>
      <fill>
        <patternFill>
          <bgColor rgb="FFFFC7CE"/>
        </patternFill>
      </fill>
    </dxf>
    <dxf>
      <font>
        <color theme="0"/>
      </font>
    </dxf>
    <dxf>
      <font>
        <color theme="9" tint="0.59996337778862885"/>
      </font>
    </dxf>
    <dxf>
      <font>
        <color theme="9" tint="0.59996337778862885"/>
      </font>
    </dxf>
    <dxf>
      <font>
        <color theme="9" tint="0.59996337778862885"/>
      </font>
    </dxf>
    <dxf>
      <font>
        <color theme="0"/>
      </font>
    </dxf>
    <dxf>
      <font>
        <color theme="0"/>
      </font>
    </dxf>
    <dxf>
      <font>
        <color theme="9" tint="0.59996337778862885"/>
      </font>
    </dxf>
    <dxf>
      <font>
        <color theme="9" tint="0.59996337778862885"/>
      </font>
    </dxf>
    <dxf>
      <font>
        <color theme="9" tint="0.59996337778862885"/>
      </font>
    </dxf>
    <dxf>
      <font>
        <color theme="0"/>
      </font>
    </dxf>
    <dxf>
      <font>
        <color theme="0"/>
      </font>
    </dxf>
    <dxf>
      <font>
        <color theme="9" tint="0.59996337778862885"/>
      </font>
    </dxf>
    <dxf>
      <font>
        <color theme="9" tint="0.59996337778862885"/>
      </font>
    </dxf>
    <dxf>
      <font>
        <color theme="9" tint="0.59996337778862885"/>
      </font>
    </dxf>
    <dxf>
      <font>
        <color theme="0"/>
      </font>
    </dxf>
    <dxf>
      <font>
        <color theme="0"/>
      </font>
    </dxf>
    <dxf>
      <font>
        <color theme="9" tint="0.59996337778862885"/>
      </font>
    </dxf>
    <dxf>
      <font>
        <color theme="9" tint="0.59996337778862885"/>
      </font>
    </dxf>
    <dxf>
      <font>
        <color theme="9" tint="0.59996337778862885"/>
      </font>
    </dxf>
    <dxf>
      <font>
        <color theme="9" tint="0.59996337778862885"/>
      </font>
    </dxf>
    <dxf>
      <font>
        <color theme="9" tint="0.59996337778862885"/>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409223</xdr:colOff>
      <xdr:row>66</xdr:row>
      <xdr:rowOff>28223</xdr:rowOff>
    </xdr:from>
    <xdr:to>
      <xdr:col>0</xdr:col>
      <xdr:colOff>1143001</xdr:colOff>
      <xdr:row>66</xdr:row>
      <xdr:rowOff>183445</xdr:rowOff>
    </xdr:to>
    <xdr:sp macro="" textlink="">
      <xdr:nvSpPr>
        <xdr:cNvPr id="2" name="Rechteck 1" descr="Rechteck">
          <a:extLst>
            <a:ext uri="{FF2B5EF4-FFF2-40B4-BE49-F238E27FC236}">
              <a16:creationId xmlns:a16="http://schemas.microsoft.com/office/drawing/2014/main" id="{9CB699A6-9600-D446-8E36-FF9972B70A69}"/>
            </a:ext>
            <a:ext uri="{C183D7F6-B498-43B3-948B-1728B52AA6E4}">
              <adec:decorative xmlns:adec="http://schemas.microsoft.com/office/drawing/2017/decorative" val="0"/>
            </a:ext>
          </a:extLst>
        </xdr:cNvPr>
        <xdr:cNvSpPr/>
      </xdr:nvSpPr>
      <xdr:spPr>
        <a:xfrm>
          <a:off x="244123" y="10721623"/>
          <a:ext cx="0" cy="155222"/>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23</xdr:row>
      <xdr:rowOff>12700</xdr:rowOff>
    </xdr:from>
    <xdr:to>
      <xdr:col>8</xdr:col>
      <xdr:colOff>635000</xdr:colOff>
      <xdr:row>24</xdr:row>
      <xdr:rowOff>190500</xdr:rowOff>
    </xdr:to>
    <xdr:sp macro="" textlink="">
      <xdr:nvSpPr>
        <xdr:cNvPr id="2" name="Dreieck 2" descr="Pfeil nach unten">
          <a:extLst>
            <a:ext uri="{FF2B5EF4-FFF2-40B4-BE49-F238E27FC236}">
              <a16:creationId xmlns:a16="http://schemas.microsoft.com/office/drawing/2014/main" id="{1D7E53B1-E0A1-48CF-9F81-6CC55C32C6F6}"/>
            </a:ext>
          </a:extLst>
        </xdr:cNvPr>
        <xdr:cNvSpPr/>
      </xdr:nvSpPr>
      <xdr:spPr>
        <a:xfrm flipV="1">
          <a:off x="6705600" y="4613275"/>
          <a:ext cx="635000" cy="377825"/>
        </a:xfrm>
        <a:prstGeom prst="triangle">
          <a:avLst>
            <a:gd name="adj" fmla="val 51379"/>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25400</xdr:colOff>
      <xdr:row>36</xdr:row>
      <xdr:rowOff>12700</xdr:rowOff>
    </xdr:from>
    <xdr:to>
      <xdr:col>7</xdr:col>
      <xdr:colOff>0</xdr:colOff>
      <xdr:row>38</xdr:row>
      <xdr:rowOff>0</xdr:rowOff>
    </xdr:to>
    <xdr:sp macro="" textlink="">
      <xdr:nvSpPr>
        <xdr:cNvPr id="3" name="Dreieck 6" descr="Pfeil nach oben">
          <a:extLst>
            <a:ext uri="{FF2B5EF4-FFF2-40B4-BE49-F238E27FC236}">
              <a16:creationId xmlns:a16="http://schemas.microsoft.com/office/drawing/2014/main" id="{C158E221-AE29-412A-A5FC-6F4048C8CD0F}"/>
            </a:ext>
          </a:extLst>
        </xdr:cNvPr>
        <xdr:cNvSpPr/>
      </xdr:nvSpPr>
      <xdr:spPr>
        <a:xfrm rot="10800000" flipV="1">
          <a:off x="5054600" y="7213600"/>
          <a:ext cx="812800" cy="387350"/>
        </a:xfrm>
        <a:prstGeom prst="triangle">
          <a:avLst>
            <a:gd name="adj" fmla="val 51379"/>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177800</xdr:colOff>
      <xdr:row>35</xdr:row>
      <xdr:rowOff>165100</xdr:rowOff>
    </xdr:from>
    <xdr:to>
      <xdr:col>2</xdr:col>
      <xdr:colOff>584200</xdr:colOff>
      <xdr:row>45</xdr:row>
      <xdr:rowOff>76200</xdr:rowOff>
    </xdr:to>
    <xdr:sp macro="" textlink="">
      <xdr:nvSpPr>
        <xdr:cNvPr id="4" name="Dreieck 7" descr="Pfeil nach rechts">
          <a:extLst>
            <a:ext uri="{FF2B5EF4-FFF2-40B4-BE49-F238E27FC236}">
              <a16:creationId xmlns:a16="http://schemas.microsoft.com/office/drawing/2014/main" id="{DEA43933-A23E-478C-BAC1-0E2A6B2DCFA3}"/>
            </a:ext>
          </a:extLst>
        </xdr:cNvPr>
        <xdr:cNvSpPr/>
      </xdr:nvSpPr>
      <xdr:spPr>
        <a:xfrm rot="16200000" flipV="1">
          <a:off x="1101725" y="7918450"/>
          <a:ext cx="1911350" cy="406400"/>
        </a:xfrm>
        <a:prstGeom prst="triangle">
          <a:avLst>
            <a:gd name="adj" fmla="val 51379"/>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23</xdr:row>
      <xdr:rowOff>0</xdr:rowOff>
    </xdr:from>
    <xdr:to>
      <xdr:col>6</xdr:col>
      <xdr:colOff>0</xdr:colOff>
      <xdr:row>24</xdr:row>
      <xdr:rowOff>177800</xdr:rowOff>
    </xdr:to>
    <xdr:sp macro="" textlink="">
      <xdr:nvSpPr>
        <xdr:cNvPr id="5" name="Dreieck 8" descr="Pfeil nach unten">
          <a:extLst>
            <a:ext uri="{FF2B5EF4-FFF2-40B4-BE49-F238E27FC236}">
              <a16:creationId xmlns:a16="http://schemas.microsoft.com/office/drawing/2014/main" id="{C1D1004A-FA30-4604-B5CE-6FCBC46B8E69}"/>
            </a:ext>
          </a:extLst>
        </xdr:cNvPr>
        <xdr:cNvSpPr/>
      </xdr:nvSpPr>
      <xdr:spPr>
        <a:xfrm flipV="1">
          <a:off x="4191000" y="4600575"/>
          <a:ext cx="838200" cy="377825"/>
        </a:xfrm>
        <a:prstGeom prst="triangle">
          <a:avLst>
            <a:gd name="adj" fmla="val 51379"/>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25400</xdr:colOff>
      <xdr:row>36</xdr:row>
      <xdr:rowOff>0</xdr:rowOff>
    </xdr:from>
    <xdr:to>
      <xdr:col>5</xdr:col>
      <xdr:colOff>622300</xdr:colOff>
      <xdr:row>38</xdr:row>
      <xdr:rowOff>0</xdr:rowOff>
    </xdr:to>
    <xdr:sp macro="" textlink="">
      <xdr:nvSpPr>
        <xdr:cNvPr id="6" name="Dreieck 9" descr="Pfeil nach oben">
          <a:extLst>
            <a:ext uri="{FF2B5EF4-FFF2-40B4-BE49-F238E27FC236}">
              <a16:creationId xmlns:a16="http://schemas.microsoft.com/office/drawing/2014/main" id="{DFD75392-B044-4306-B7FB-F83ECE31DAD7}"/>
            </a:ext>
          </a:extLst>
        </xdr:cNvPr>
        <xdr:cNvSpPr/>
      </xdr:nvSpPr>
      <xdr:spPr>
        <a:xfrm rot="10800000" flipV="1">
          <a:off x="4216400" y="7200900"/>
          <a:ext cx="596900" cy="400050"/>
        </a:xfrm>
        <a:prstGeom prst="triangle">
          <a:avLst>
            <a:gd name="adj" fmla="val 51379"/>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bteilung%204/Referat%2041/3._Gremien,%20AGs/GK%20SGB%20IX/Landesrahmenvertrag%20neu/_230803%20Endfassungen%20LRV/Anlage%2017%20-%20RLP%20Standardkalkulation%20(aktuell%201.5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bteilung%204/Referat%2041/4._Soziale%20Teilhabe/4.2_Verhandlungsgrundlagen/bW/LRV%20neu/Test%20FS_Tagespauschale_Zeitkorrido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lfe"/>
      <sheetName val="1. Übersicht"/>
      <sheetName val="2. Liste Betreuungspersonal"/>
      <sheetName val="3a. Vorhalt Tag"/>
      <sheetName val="3b. Vorhalt NachtWach"/>
      <sheetName val="3c. Vorhalt NachtBereit"/>
      <sheetName val="3d. Vorhalt Sonder Ruf-Bereit"/>
      <sheetName val="4. TG-TS-TF"/>
      <sheetName val="5. Gesamt"/>
      <sheetName val="PK"/>
      <sheetName val="Listen"/>
      <sheetName val="Versionsverlauf"/>
    </sheetNames>
    <sheetDataSet>
      <sheetData sheetId="0"/>
      <sheetData sheetId="1"/>
      <sheetData sheetId="2"/>
      <sheetData sheetId="3"/>
      <sheetData sheetId="4"/>
      <sheetData sheetId="5"/>
      <sheetData sheetId="6"/>
      <sheetData sheetId="7">
        <row r="11">
          <cell r="I11">
            <v>0</v>
          </cell>
        </row>
      </sheetData>
      <sheetData sheetId="8">
        <row r="5">
          <cell r="G5" t="str">
            <v>Wählen Sie das Modul aus. 
Je Modul ist eine gesonderte Datei zu erstellen!</v>
          </cell>
        </row>
        <row r="7">
          <cell r="D7">
            <v>1250</v>
          </cell>
        </row>
        <row r="12">
          <cell r="D12">
            <v>0</v>
          </cell>
        </row>
        <row r="44">
          <cell r="H44">
            <v>0</v>
          </cell>
          <cell r="I44">
            <v>0</v>
          </cell>
          <cell r="L44">
            <v>0</v>
          </cell>
        </row>
        <row r="45">
          <cell r="L45">
            <v>0</v>
          </cell>
        </row>
        <row r="116">
          <cell r="K116">
            <v>0</v>
          </cell>
          <cell r="L116">
            <v>0</v>
          </cell>
        </row>
        <row r="117">
          <cell r="G117">
            <v>0</v>
          </cell>
        </row>
      </sheetData>
      <sheetData sheetId="9"/>
      <sheetData sheetId="10">
        <row r="1">
          <cell r="I1" t="str">
            <v>Tagessatz</v>
          </cell>
        </row>
        <row r="2">
          <cell r="G2" t="str">
            <v>1.     Tagesstruktur,</v>
          </cell>
        </row>
      </sheetData>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Struktur"/>
      <sheetName val="Basis"/>
      <sheetName val="Netto JAZ"/>
      <sheetName val="(A) Pers. BL"/>
      <sheetName val="(A) Pers. paL"/>
      <sheetName val="(A) AG-Anteil Soz.Vers."/>
      <sheetName val="(A) Personal"/>
      <sheetName val="(B) Personal"/>
      <sheetName val="Zuschlag Partizipation"/>
      <sheetName val="Flächen"/>
      <sheetName val="Investdaten"/>
      <sheetName val="KdU"/>
      <sheetName val="Darlehen"/>
      <sheetName val="Kosten KdU SH"/>
      <sheetName val="Miete-Pacht-Leasing"/>
      <sheetName val="Basisleistung"/>
      <sheetName val="persabh. Leist."/>
      <sheetName val="Instandhaltung"/>
      <sheetName val="Tariftabellen"/>
      <sheetName val="Berechnungsdat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T3" t="str">
            <v>Sozialpädagog*in</v>
          </cell>
          <cell r="X3" t="str">
            <v>Leitung_Verw.</v>
          </cell>
        </row>
        <row r="4">
          <cell r="T4" t="str">
            <v>Heilpädagog*in</v>
          </cell>
          <cell r="X4" t="str">
            <v>Wirtschaftsdienst</v>
          </cell>
          <cell r="Z4" t="str">
            <v>Ohne_anderer_Tarif</v>
          </cell>
        </row>
        <row r="5">
          <cell r="T5" t="str">
            <v>Sozialarbeiter*in</v>
          </cell>
          <cell r="X5" t="str">
            <v>Sonstiges_Pers.</v>
          </cell>
          <cell r="Z5" t="str">
            <v>TVöD_SuE</v>
          </cell>
        </row>
        <row r="6">
          <cell r="T6" t="str">
            <v>Erzieher*in</v>
          </cell>
          <cell r="X6" t="str">
            <v>Vorhalteleistungen</v>
          </cell>
          <cell r="Z6" t="str">
            <v>TVöD_VKA</v>
          </cell>
        </row>
        <row r="7">
          <cell r="T7" t="str">
            <v>Heilerz.-Pfleger*in</v>
          </cell>
          <cell r="Z7" t="str">
            <v>TVL_S</v>
          </cell>
        </row>
        <row r="8">
          <cell r="T8" t="str">
            <v>Ergotherapeut*in</v>
          </cell>
          <cell r="Z8" t="str">
            <v>TVL</v>
          </cell>
        </row>
        <row r="9">
          <cell r="T9" t="str">
            <v>Krankengymnast*in</v>
          </cell>
          <cell r="Z9" t="str">
            <v>TVöD_Bund</v>
          </cell>
        </row>
        <row r="10">
          <cell r="T10" t="str">
            <v>Logopäd*in</v>
          </cell>
          <cell r="Z10" t="str">
            <v>KTD</v>
          </cell>
        </row>
        <row r="11">
          <cell r="T11" t="str">
            <v>Hauswirtschafter*in</v>
          </cell>
          <cell r="Z11" t="str">
            <v>KAT</v>
          </cell>
        </row>
        <row r="12">
          <cell r="T12" t="str">
            <v>Köch*in</v>
          </cell>
          <cell r="Z12" t="str">
            <v>AVB_Parität</v>
          </cell>
        </row>
        <row r="13">
          <cell r="T13" t="str">
            <v>Pflegefachkräfte</v>
          </cell>
          <cell r="Z13" t="str">
            <v>AVR</v>
          </cell>
        </row>
        <row r="14">
          <cell r="T14" t="str">
            <v>Sozialpäd. Assist.</v>
          </cell>
          <cell r="Z14" t="str">
            <v>DRK</v>
          </cell>
        </row>
        <row r="15">
          <cell r="T15" t="str">
            <v>Kirchl. Anerk. Heimerz.</v>
          </cell>
          <cell r="Z15" t="str">
            <v>Caritas_Anl._33</v>
          </cell>
        </row>
        <row r="16">
          <cell r="T16" t="str">
            <v>Kinderpfleger*in</v>
          </cell>
          <cell r="Z16" t="str">
            <v>Caritas_RK_Ost</v>
          </cell>
        </row>
        <row r="17">
          <cell r="T17" t="str">
            <v>Heilerz.-Pflegehelfer*in</v>
          </cell>
          <cell r="Z17" t="str">
            <v>AWO_gGmbH_A</v>
          </cell>
        </row>
        <row r="18">
          <cell r="T18" t="str">
            <v>Pflegehelfer*in</v>
          </cell>
          <cell r="Z18" t="str">
            <v>AWO_gGmbH_B</v>
          </cell>
        </row>
        <row r="19">
          <cell r="T19" t="str">
            <v>Alltagsbegleiter*in</v>
          </cell>
          <cell r="Z19" t="str">
            <v>AWO_gGmbH_P</v>
          </cell>
        </row>
        <row r="20">
          <cell r="T20" t="str">
            <v>Reinigungskräfte</v>
          </cell>
          <cell r="Z20" t="str">
            <v>TV_AVH</v>
          </cell>
        </row>
        <row r="21">
          <cell r="T21" t="str">
            <v>Hilfskräfte</v>
          </cell>
          <cell r="Z21" t="str">
            <v>RTV_Mürwiker</v>
          </cell>
        </row>
        <row r="22">
          <cell r="T22" t="str">
            <v>BFD, FSJ</v>
          </cell>
        </row>
        <row r="23">
          <cell r="T23" t="str">
            <v>Praktikantinnen</v>
          </cell>
        </row>
        <row r="24">
          <cell r="T24" t="str">
            <v>Sonstiges Personal</v>
          </cell>
        </row>
      </sheetData>
      <sheetData sheetId="20"/>
    </sheetDataSet>
  </externalBook>
</externalLink>
</file>

<file path=xl/persons/person.xml><?xml version="1.0" encoding="utf-8"?>
<personList xmlns="http://schemas.microsoft.com/office/spreadsheetml/2018/threadedcomments" xmlns:x="http://schemas.openxmlformats.org/spreadsheetml/2006/main">
  <person displayName="Tobias Gros" id="{9E8BD3E6-BE5D-784E-A1B6-C71A6F7F04B3}" userId="S::Gros@BernzenPartner.onmicrosoft.com::d1f76778-637b-4738-8150-90b958a18ee5" providerId="AD"/>
</personList>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9" dT="2023-11-23T12:18:52.41" personId="{9E8BD3E6-BE5D-784E-A1B6-C71A6F7F04B3}" id="{61EBCDA3-22BE-EB4F-ABE8-EA61EAAE3800}">
    <text>Rechenlogik siehe Erläuterungen Zelle …</text>
  </threadedComment>
  <threadedComment ref="B33" dT="2023-11-23T12:18:52.41" personId="{9E8BD3E6-BE5D-784E-A1B6-C71A6F7F04B3}" id="{52605B98-B041-D04E-B1AF-617920BA9163}">
    <text>Rechenlogik siehe Erläuterungen Zelle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78"/>
  <sheetViews>
    <sheetView zoomScale="210" zoomScaleNormal="210" workbookViewId="0"/>
  </sheetViews>
  <sheetFormatPr baseColWidth="10" defaultColWidth="10.875" defaultRowHeight="12.75"/>
  <cols>
    <col min="1" max="1" width="66" style="279" customWidth="1"/>
    <col min="2" max="2" width="44.375" style="112" customWidth="1"/>
    <col min="3" max="3" width="24.625" style="112" customWidth="1"/>
    <col min="4" max="7" width="10.875" style="112"/>
    <col min="8" max="8" width="81.5" style="152" customWidth="1"/>
    <col min="9" max="16384" width="10.875" style="112"/>
  </cols>
  <sheetData>
    <row r="2" spans="1:2" ht="12.75" customHeight="1">
      <c r="A2" s="466" t="s">
        <v>330</v>
      </c>
    </row>
    <row r="3" spans="1:2" ht="20.25" customHeight="1">
      <c r="A3" s="466"/>
    </row>
    <row r="4" spans="1:2" ht="31.5">
      <c r="A4" s="293" t="s">
        <v>329</v>
      </c>
    </row>
    <row r="5" spans="1:2" ht="36">
      <c r="A5" s="294" t="s">
        <v>328</v>
      </c>
    </row>
    <row r="6" spans="1:2" ht="31.5">
      <c r="A6" s="293" t="s">
        <v>327</v>
      </c>
    </row>
    <row r="9" spans="1:2">
      <c r="A9" s="280" t="s">
        <v>326</v>
      </c>
    </row>
    <row r="10" spans="1:2">
      <c r="A10" s="282" t="s">
        <v>325</v>
      </c>
    </row>
    <row r="11" spans="1:2">
      <c r="A11" s="292" t="s">
        <v>324</v>
      </c>
    </row>
    <row r="12" spans="1:2" ht="36">
      <c r="A12" s="292" t="s">
        <v>323</v>
      </c>
      <c r="B12" s="152"/>
    </row>
    <row r="13" spans="1:2" ht="96">
      <c r="A13" s="292" t="s">
        <v>322</v>
      </c>
      <c r="B13" s="152"/>
    </row>
    <row r="14" spans="1:2" ht="48">
      <c r="A14" s="292" t="s">
        <v>321</v>
      </c>
    </row>
    <row r="15" spans="1:2">
      <c r="A15" s="292" t="s">
        <v>320</v>
      </c>
    </row>
    <row r="16" spans="1:2">
      <c r="A16" s="292" t="s">
        <v>319</v>
      </c>
    </row>
    <row r="17" spans="1:2">
      <c r="A17" s="292" t="s">
        <v>318</v>
      </c>
    </row>
    <row r="18" spans="1:2" ht="24">
      <c r="A18" s="292" t="s">
        <v>317</v>
      </c>
    </row>
    <row r="19" spans="1:2" ht="24">
      <c r="A19" s="292" t="s">
        <v>316</v>
      </c>
    </row>
    <row r="20" spans="1:2" ht="36">
      <c r="A20" s="292" t="s">
        <v>315</v>
      </c>
    </row>
    <row r="21" spans="1:2">
      <c r="A21" s="282" t="s">
        <v>171</v>
      </c>
    </row>
    <row r="22" spans="1:2" ht="24">
      <c r="A22" s="383" t="s">
        <v>443</v>
      </c>
    </row>
    <row r="23" spans="1:2">
      <c r="A23" s="384" t="s">
        <v>444</v>
      </c>
    </row>
    <row r="24" spans="1:2" ht="60">
      <c r="A24" s="292" t="s">
        <v>445</v>
      </c>
    </row>
    <row r="25" spans="1:2">
      <c r="A25" s="280" t="s">
        <v>314</v>
      </c>
    </row>
    <row r="26" spans="1:2">
      <c r="A26" s="286" t="s">
        <v>309</v>
      </c>
    </row>
    <row r="27" spans="1:2" ht="24">
      <c r="A27" s="287" t="s">
        <v>308</v>
      </c>
      <c r="B27" s="291"/>
    </row>
    <row r="28" spans="1:2">
      <c r="A28" s="286" t="s">
        <v>447</v>
      </c>
    </row>
    <row r="29" spans="1:2" ht="24">
      <c r="A29" s="287" t="s">
        <v>448</v>
      </c>
    </row>
    <row r="30" spans="1:2">
      <c r="A30" s="286" t="s">
        <v>313</v>
      </c>
    </row>
    <row r="31" spans="1:2" ht="60">
      <c r="A31" s="287" t="s">
        <v>312</v>
      </c>
    </row>
    <row r="32" spans="1:2">
      <c r="A32" s="286" t="s">
        <v>433</v>
      </c>
    </row>
    <row r="33" spans="1:1" ht="48">
      <c r="A33" s="287" t="s">
        <v>449</v>
      </c>
    </row>
    <row r="34" spans="1:1">
      <c r="A34" s="286" t="s">
        <v>311</v>
      </c>
    </row>
    <row r="35" spans="1:1">
      <c r="A35" s="290" t="s">
        <v>310</v>
      </c>
    </row>
    <row r="36" spans="1:1">
      <c r="A36" s="286" t="s">
        <v>307</v>
      </c>
    </row>
    <row r="37" spans="1:1" ht="24">
      <c r="A37" s="289" t="s">
        <v>306</v>
      </c>
    </row>
    <row r="38" spans="1:1">
      <c r="A38" s="286" t="s">
        <v>305</v>
      </c>
    </row>
    <row r="39" spans="1:1" ht="36">
      <c r="A39" s="287" t="s">
        <v>304</v>
      </c>
    </row>
    <row r="40" spans="1:1">
      <c r="A40" s="286" t="s">
        <v>303</v>
      </c>
    </row>
    <row r="41" spans="1:1" ht="36">
      <c r="A41" s="287" t="s">
        <v>302</v>
      </c>
    </row>
    <row r="42" spans="1:1">
      <c r="A42" s="112"/>
    </row>
    <row r="43" spans="1:1">
      <c r="A43" s="112"/>
    </row>
    <row r="44" spans="1:1">
      <c r="A44" s="286"/>
    </row>
    <row r="45" spans="1:1">
      <c r="A45" s="287"/>
    </row>
    <row r="46" spans="1:1">
      <c r="A46" s="286"/>
    </row>
    <row r="47" spans="1:1">
      <c r="A47" s="287"/>
    </row>
    <row r="48" spans="1:1">
      <c r="A48" s="285" t="s">
        <v>301</v>
      </c>
    </row>
    <row r="49" spans="1:1" ht="36">
      <c r="A49" s="287" t="s">
        <v>300</v>
      </c>
    </row>
    <row r="50" spans="1:1">
      <c r="A50" s="286" t="s">
        <v>299</v>
      </c>
    </row>
    <row r="51" spans="1:1" ht="24">
      <c r="A51" s="287" t="s">
        <v>298</v>
      </c>
    </row>
    <row r="52" spans="1:1" ht="24">
      <c r="A52" s="288" t="s">
        <v>297</v>
      </c>
    </row>
    <row r="53" spans="1:1" ht="24">
      <c r="A53" s="287" t="s">
        <v>296</v>
      </c>
    </row>
    <row r="54" spans="1:1">
      <c r="A54" s="287"/>
    </row>
    <row r="55" spans="1:1">
      <c r="A55" s="286" t="s">
        <v>295</v>
      </c>
    </row>
    <row r="56" spans="1:1" ht="48">
      <c r="A56" s="287" t="s">
        <v>294</v>
      </c>
    </row>
    <row r="57" spans="1:1">
      <c r="A57" s="286"/>
    </row>
    <row r="58" spans="1:1">
      <c r="A58" s="287"/>
    </row>
    <row r="59" spans="1:1">
      <c r="A59" s="286" t="s">
        <v>293</v>
      </c>
    </row>
    <row r="60" spans="1:1" ht="24">
      <c r="A60" s="287" t="s">
        <v>292</v>
      </c>
    </row>
    <row r="61" spans="1:1">
      <c r="A61" s="286" t="s">
        <v>291</v>
      </c>
    </row>
    <row r="62" spans="1:1">
      <c r="A62" s="287" t="s">
        <v>196</v>
      </c>
    </row>
    <row r="63" spans="1:1">
      <c r="A63" s="287" t="s">
        <v>195</v>
      </c>
    </row>
    <row r="64" spans="1:1">
      <c r="A64" s="287" t="s">
        <v>194</v>
      </c>
    </row>
    <row r="65" spans="1:1">
      <c r="A65" s="286"/>
    </row>
    <row r="66" spans="1:1">
      <c r="A66" s="285" t="s">
        <v>290</v>
      </c>
    </row>
    <row r="67" spans="1:1" ht="409.5">
      <c r="A67" s="284" t="s">
        <v>289</v>
      </c>
    </row>
    <row r="68" spans="1:1">
      <c r="A68" s="283"/>
    </row>
    <row r="69" spans="1:1">
      <c r="A69" s="280"/>
    </row>
    <row r="70" spans="1:1">
      <c r="A70" s="282"/>
    </row>
    <row r="71" spans="1:1">
      <c r="A71" s="281"/>
    </row>
    <row r="72" spans="1:1">
      <c r="A72" s="282"/>
    </row>
    <row r="73" spans="1:1">
      <c r="A73" s="282"/>
    </row>
    <row r="74" spans="1:1">
      <c r="A74" s="281"/>
    </row>
    <row r="75" spans="1:1">
      <c r="A75" s="281"/>
    </row>
    <row r="76" spans="1:1">
      <c r="A76" s="282"/>
    </row>
    <row r="77" spans="1:1">
      <c r="A77" s="281"/>
    </row>
    <row r="78" spans="1:1">
      <c r="A78" s="280"/>
    </row>
  </sheetData>
  <mergeCells count="1">
    <mergeCell ref="A2:A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A1:J43"/>
  <sheetViews>
    <sheetView tabSelected="1" zoomScale="80" zoomScaleNormal="80" workbookViewId="0"/>
  </sheetViews>
  <sheetFormatPr baseColWidth="10" defaultRowHeight="15.75"/>
  <cols>
    <col min="1" max="1" width="29" customWidth="1"/>
    <col min="2" max="2" width="63.125" style="64" customWidth="1"/>
    <col min="3" max="3" width="13" bestFit="1" customWidth="1"/>
    <col min="7" max="9" width="13.125" bestFit="1" customWidth="1"/>
    <col min="10" max="10" width="11.625" bestFit="1" customWidth="1"/>
  </cols>
  <sheetData>
    <row r="1" spans="1:9" s="39" customFormat="1" ht="21" customHeight="1">
      <c r="A1" s="66" t="s">
        <v>140</v>
      </c>
      <c r="B1" s="471"/>
      <c r="C1" s="471"/>
      <c r="D1" s="471"/>
    </row>
    <row r="2" spans="1:9" s="39" customFormat="1" ht="21" customHeight="1">
      <c r="A2" s="66" t="s">
        <v>139</v>
      </c>
      <c r="B2" s="468"/>
      <c r="C2" s="468"/>
      <c r="D2" s="468"/>
    </row>
    <row r="3" spans="1:9" s="39" customFormat="1" ht="60.95" customHeight="1">
      <c r="A3" s="66" t="s">
        <v>141</v>
      </c>
      <c r="B3" s="468"/>
      <c r="C3" s="468"/>
      <c r="D3" s="468"/>
    </row>
    <row r="4" spans="1:9" s="39" customFormat="1" ht="48" customHeight="1">
      <c r="A4" s="66" t="s">
        <v>153</v>
      </c>
      <c r="B4" s="467" t="s">
        <v>333</v>
      </c>
      <c r="C4" s="467"/>
      <c r="D4" s="467"/>
    </row>
    <row r="5" spans="1:9" s="39" customFormat="1" ht="21" customHeight="1">
      <c r="A5" s="66" t="s">
        <v>142</v>
      </c>
      <c r="B5" s="468"/>
      <c r="C5" s="468"/>
      <c r="D5" s="468"/>
    </row>
    <row r="6" spans="1:9" s="39" customFormat="1" ht="21" customHeight="1">
      <c r="A6" s="66" t="s">
        <v>143</v>
      </c>
      <c r="B6" s="469"/>
      <c r="C6" s="469"/>
      <c r="D6" s="469"/>
    </row>
    <row r="7" spans="1:9" s="39" customFormat="1" ht="21" customHeight="1">
      <c r="A7" s="66" t="s">
        <v>144</v>
      </c>
      <c r="B7" s="470"/>
      <c r="C7" s="468"/>
      <c r="D7" s="468"/>
    </row>
    <row r="8" spans="1:9" s="39" customFormat="1" ht="21" customHeight="1">
      <c r="B8" s="65"/>
    </row>
    <row r="9" spans="1:9" s="39" customFormat="1">
      <c r="A9" s="472"/>
      <c r="B9" s="66" t="s">
        <v>146</v>
      </c>
      <c r="C9" s="71">
        <f>Klienten</f>
        <v>0</v>
      </c>
      <c r="D9" s="71"/>
      <c r="E9" s="71" t="s">
        <v>31</v>
      </c>
      <c r="G9" s="473" t="str">
        <f>'5. Gesamt'!G5</f>
        <v>Wählen Sie das Modul aus. 
Je Modul ist eine gesonderte Datei zu erstellen!</v>
      </c>
      <c r="H9" s="473"/>
      <c r="I9" s="473"/>
    </row>
    <row r="10" spans="1:9">
      <c r="A10" s="472"/>
      <c r="B10" s="66" t="s">
        <v>145</v>
      </c>
      <c r="C10" s="70">
        <f>Auslastung</f>
        <v>0</v>
      </c>
      <c r="D10" s="70"/>
      <c r="E10" s="72" t="s">
        <v>7</v>
      </c>
      <c r="G10" s="474" t="str">
        <f>'5. Gesamt'!L5</f>
        <v>Bitte auswählen:</v>
      </c>
      <c r="H10" s="474"/>
      <c r="I10" s="474"/>
    </row>
    <row r="11" spans="1:9">
      <c r="A11" s="39"/>
      <c r="B11"/>
      <c r="E11" s="1"/>
      <c r="G11" s="1"/>
      <c r="H11" s="1"/>
    </row>
    <row r="12" spans="1:9">
      <c r="A12" s="39"/>
      <c r="B12"/>
      <c r="C12" s="77" t="s">
        <v>17</v>
      </c>
      <c r="D12" s="77"/>
      <c r="E12" s="77" t="s">
        <v>92</v>
      </c>
      <c r="G12" s="77" t="s">
        <v>276</v>
      </c>
      <c r="H12" s="77" t="s">
        <v>277</v>
      </c>
      <c r="I12" s="77" t="s">
        <v>278</v>
      </c>
    </row>
    <row r="13" spans="1:9">
      <c r="A13" s="472" t="s">
        <v>279</v>
      </c>
      <c r="B13" s="66" t="str">
        <f>"Basisleistung "&amp;'5. Gesamt'!B16</f>
        <v>Basisleistung Bitte auswählen, wenn zutreffend oder eingeben.</v>
      </c>
      <c r="C13" s="67" t="str">
        <f>'5. Gesamt'!C28</f>
        <v/>
      </c>
      <c r="D13" s="67" t="s">
        <v>279</v>
      </c>
      <c r="E13" s="274">
        <f>'5. Gesamt'!D26</f>
        <v>0</v>
      </c>
      <c r="G13" s="67" t="e">
        <f>C13*(Tage_nach_Auslastung*Klienten)</f>
        <v>#VALUE!</v>
      </c>
      <c r="H13" s="67" t="e">
        <f>C13*(Tage_nach_Auslastung*Klienten)</f>
        <v>#VALUE!</v>
      </c>
      <c r="I13" s="67" t="e">
        <f>'5. Gesamt'!I87</f>
        <v>#VALUE!</v>
      </c>
    </row>
    <row r="14" spans="1:9">
      <c r="A14" s="472"/>
      <c r="B14" s="66" t="str">
        <f>"Basisleistung "&amp;'5. Gesamt'!F16</f>
        <v>Basisleistung Bitte auswählen, wenn zutreffend oder eingeben.</v>
      </c>
      <c r="C14" s="67" t="str">
        <f>'5. Gesamt'!G28</f>
        <v/>
      </c>
      <c r="D14" s="67" t="s">
        <v>279</v>
      </c>
      <c r="E14" s="274">
        <f>'5. Gesamt'!H26</f>
        <v>0</v>
      </c>
      <c r="G14" s="67" t="e">
        <f>C14*Tage_nach_Auslastung*Klienten</f>
        <v>#VALUE!</v>
      </c>
      <c r="H14" s="67" t="e">
        <f>C14*Tage_nach_Auslastung*Klienten</f>
        <v>#VALUE!</v>
      </c>
      <c r="I14" s="67" t="e">
        <f>'5. Gesamt'!I101</f>
        <v>#VALUE!</v>
      </c>
    </row>
    <row r="15" spans="1:9">
      <c r="A15" s="472"/>
      <c r="B15" s="66" t="str">
        <f>"Basisleistung "&amp;'5. Gesamt'!J16</f>
        <v>Basisleistung Bitte auswählen, wenn zutreffend oder eingeben.</v>
      </c>
      <c r="C15" s="67" t="str">
        <f>'5. Gesamt'!K28</f>
        <v/>
      </c>
      <c r="D15" s="67" t="s">
        <v>279</v>
      </c>
      <c r="E15" s="274">
        <f>'5. Gesamt'!L26</f>
        <v>0</v>
      </c>
      <c r="G15" s="67" t="e">
        <f>C15*Tage_nach_Auslastung*Klienten</f>
        <v>#VALUE!</v>
      </c>
      <c r="H15" s="67" t="e">
        <f>C15*Tage_nach_Auslastung*Klienten</f>
        <v>#VALUE!</v>
      </c>
      <c r="I15" s="67" t="e">
        <f>'5. Gesamt'!I115</f>
        <v>#VALUE!</v>
      </c>
    </row>
    <row r="16" spans="1:9">
      <c r="A16" s="472"/>
      <c r="B16" s="66" t="str">
        <f>"Basisleistung "&amp;'5. Gesamt'!B30</f>
        <v>Basisleistung Bitte auswählen, wenn zutreffend oder eingeben.</v>
      </c>
      <c r="C16" s="68" t="str">
        <f>'5. Gesamt'!C42</f>
        <v/>
      </c>
      <c r="D16" s="68" t="s">
        <v>279</v>
      </c>
      <c r="E16" s="274">
        <f>'5. Gesamt'!D40</f>
        <v>0</v>
      </c>
      <c r="G16" s="67" t="e">
        <f>C16*Tage_nach_Auslastung*Klienten</f>
        <v>#VALUE!</v>
      </c>
      <c r="H16" s="67" t="e">
        <f>C16*Tage_nach_Auslastung*Klienten</f>
        <v>#VALUE!</v>
      </c>
      <c r="I16" s="67">
        <f>'5. Gesamt'!I116</f>
        <v>0</v>
      </c>
    </row>
    <row r="17" spans="1:10">
      <c r="A17" s="472"/>
      <c r="B17" s="66" t="str">
        <f>"Basisleistung "&amp;'5. Gesamt'!F30</f>
        <v>Basisleistung Bitte auswählen, wenn zutreffend oder eingeben.</v>
      </c>
      <c r="C17" s="68" t="str">
        <f>'5. Gesamt'!G42</f>
        <v/>
      </c>
      <c r="D17" s="68" t="s">
        <v>279</v>
      </c>
      <c r="E17" s="274">
        <f>'5. Gesamt'!H40</f>
        <v>0</v>
      </c>
      <c r="G17" s="67" t="e">
        <f>C17*Tage_nach_Auslastung*Klienten</f>
        <v>#VALUE!</v>
      </c>
      <c r="H17" s="67" t="e">
        <f>C17*Tage_nach_Auslastung*Klienten</f>
        <v>#VALUE!</v>
      </c>
      <c r="I17" s="67">
        <f>'5. Gesamt'!I117</f>
        <v>0</v>
      </c>
    </row>
    <row r="18" spans="1:10">
      <c r="A18" s="472"/>
      <c r="B18" s="66" t="str">
        <f>"Basisleistung "&amp;'5. Gesamt'!J30</f>
        <v>Basisleistung Bitte auswählen, wenn zutreffend oder eingeben.</v>
      </c>
      <c r="C18" s="68" t="str">
        <f>'5. Gesamt'!K42</f>
        <v/>
      </c>
      <c r="D18" s="68" t="s">
        <v>279</v>
      </c>
      <c r="E18" s="274">
        <f>'5. Gesamt'!L40</f>
        <v>0</v>
      </c>
      <c r="G18" s="67" t="e">
        <f>C18*Tage_nach_Auslastung*Klienten</f>
        <v>#VALUE!</v>
      </c>
      <c r="H18" s="67" t="e">
        <f>C18*Tage_nach_Auslastung*Klienten</f>
        <v>#VALUE!</v>
      </c>
      <c r="I18" s="67">
        <f>'5. Gesamt'!I118</f>
        <v>0</v>
      </c>
    </row>
    <row r="19" spans="1:10">
      <c r="A19" s="472"/>
      <c r="B19" s="79" t="s">
        <v>154</v>
      </c>
      <c r="C19" s="83"/>
      <c r="D19" s="83"/>
      <c r="E19" s="84"/>
      <c r="G19" s="83"/>
      <c r="H19" s="83"/>
      <c r="I19" s="83"/>
    </row>
    <row r="20" spans="1:10" ht="16.5" thickBot="1">
      <c r="A20" s="472"/>
      <c r="B20" s="66" t="s">
        <v>147</v>
      </c>
      <c r="C20" s="68" t="e">
        <f>IF(Modul=Modul_TS,0,Basiskosten_iL/Tage_nach_Auslastung/Klienten)</f>
        <v>#VALUE!</v>
      </c>
      <c r="D20" s="68" t="s">
        <v>279</v>
      </c>
      <c r="E20" s="85"/>
      <c r="G20" s="68">
        <f>IF(bisherige_Abrechnung=Fachleistungsstundensatz,0,IF(bisherige_Abrechnung=Tagessatz,C20*(Tage_nach_Auslastung*Klienten),'5. Gesamt'!D58*'5. Gesamt'!L57*Auslastung))</f>
        <v>0</v>
      </c>
      <c r="H20" s="68">
        <f>IF(bisherige_Abrechnung=Fachleistungsstundensatz,0,IF(Modul=Modul_TS,0,IF(bisherige_Abrechnung=Tagessatz,Basiskosten_iL,'5. Gesamt'!L57*'5. Gesamt'!D58*Auslastung)))</f>
        <v>0</v>
      </c>
      <c r="I20" s="68" t="e">
        <f>IF(bisherige_Abrechnung=Fachleistungsstundensatz,0,IF(Modul=Modul_TS,0,Basiskosten_iL))</f>
        <v>#VALUE!</v>
      </c>
    </row>
    <row r="21" spans="1:10" ht="17.25" thickTop="1" thickBot="1">
      <c r="A21" s="472"/>
      <c r="B21" s="78" t="s">
        <v>280</v>
      </c>
      <c r="C21" s="69" t="e">
        <f>SUM(C13:C20)</f>
        <v>#VALUE!</v>
      </c>
      <c r="D21" s="69" t="s">
        <v>279</v>
      </c>
      <c r="E21" s="74"/>
      <c r="G21" s="69" t="e">
        <f>SUM(G13:G20)</f>
        <v>#VALUE!</v>
      </c>
      <c r="H21" s="69" t="e">
        <f>SUM(H13:H20)</f>
        <v>#VALUE!</v>
      </c>
      <c r="I21" s="69" t="e">
        <f>SUM(I13:I20)</f>
        <v>#VALUE!</v>
      </c>
    </row>
    <row r="22" spans="1:10" ht="16.5" thickTop="1">
      <c r="A22" s="39"/>
      <c r="B22" s="39"/>
      <c r="C22" s="39"/>
      <c r="D22" s="39"/>
      <c r="E22" s="40"/>
      <c r="G22" s="39"/>
      <c r="H22" s="39"/>
    </row>
    <row r="23" spans="1:10">
      <c r="A23" s="39"/>
      <c r="B23" s="64" t="str">
        <f>"Tage je Klient p.a.:     "&amp;'5. Gesamt'!D10&amp;"       (vgl. Ihre Eingabe '5. Gesamt' Zelle D10)"</f>
        <v>Tage je Klient p.a.:            (vgl. Ihre Eingabe '5. Gesamt' Zelle D10)</v>
      </c>
    </row>
    <row r="24" spans="1:10" ht="5.0999999999999996" customHeight="1" thickBot="1">
      <c r="A24" s="39"/>
    </row>
    <row r="25" spans="1:10" ht="17.25" thickTop="1" thickBot="1">
      <c r="A25" s="28" t="s">
        <v>279</v>
      </c>
      <c r="B25" s="457" t="s">
        <v>374</v>
      </c>
      <c r="C25" s="458">
        <f>IF('5. Gesamt'!F57=0,'5. Gesamt'!K174,'5. Gesamt'!F172/Tage_nach_Auslastung/Klienten)</f>
        <v>0</v>
      </c>
      <c r="D25" s="69" t="s">
        <v>279</v>
      </c>
      <c r="E25" s="275" cm="1">
        <f t="array" ref="E25:F25">'5. Gesamt'!D57:E57</f>
        <v>0</v>
      </c>
      <c r="F25">
        <v>0</v>
      </c>
      <c r="G25" s="69">
        <f>IF(Modul=Modul_TS,0,IF(bisherige_Abrechnung=Tagessatz,C25*Tage_nach_Auslastung*Klienten,0))</f>
        <v>0</v>
      </c>
      <c r="H25" s="69">
        <v>0</v>
      </c>
      <c r="I25" s="69">
        <f>IF(Modul=Modul_TS,0,IF(bisherige_Abrechnung=Tagessatz,'5. Gesamt'!F172,0))</f>
        <v>0</v>
      </c>
    </row>
    <row r="26" spans="1:10" ht="16.5" thickTop="1">
      <c r="A26" s="39"/>
      <c r="B26" s="459"/>
      <c r="C26" s="460"/>
      <c r="D26" s="456"/>
      <c r="G26" s="9"/>
      <c r="H26" s="9"/>
    </row>
    <row r="27" spans="1:10" ht="3.95" customHeight="1">
      <c r="A27" s="39"/>
    </row>
    <row r="28" spans="1:10">
      <c r="A28" s="39"/>
      <c r="B28" s="64" t="str" cm="1">
        <f t="array" ref="B28:C28">"FLS p.a. gesamt:         "&amp;'5. Gesamt'!D58:E58</f>
        <v>FLS p.a. gesamt:         0</v>
      </c>
      <c r="C28" t="str">
        <v xml:space="preserve">FLS p.a. gesamt:         </v>
      </c>
    </row>
    <row r="29" spans="1:10" ht="3.95" customHeight="1">
      <c r="A29" s="39"/>
    </row>
    <row r="30" spans="1:10">
      <c r="A30" s="39"/>
    </row>
    <row r="31" spans="1:10">
      <c r="A31" s="472" t="s">
        <v>281</v>
      </c>
      <c r="B31" s="66" t="s">
        <v>148</v>
      </c>
      <c r="C31" s="475"/>
      <c r="D31" s="476"/>
      <c r="E31" s="477"/>
      <c r="G31" s="475"/>
      <c r="H31" s="476"/>
      <c r="I31" s="477"/>
    </row>
    <row r="32" spans="1:10">
      <c r="A32" s="472"/>
      <c r="B32" s="277" t="s">
        <v>283</v>
      </c>
      <c r="C32" s="67">
        <f>'5. Gesamt'!L57</f>
        <v>0</v>
      </c>
      <c r="D32" s="67" t="s">
        <v>281</v>
      </c>
      <c r="E32" s="73"/>
      <c r="G32" s="68">
        <f>IF(G10=Fachleistungsstundensatz,C32*h_pa_qA*Auslastung,IF(Modul=Modul_TS,C32*h_pa_qA*Auslastung,0))</f>
        <v>0</v>
      </c>
      <c r="H32" s="68">
        <f>IF(Modul=Modul_Wohnen,IF(bisherige_Abrechnung=Tagessatz,0,C32*h_pa_qA*Auslastung),C32*h_pa_qA*Auslastung)</f>
        <v>0</v>
      </c>
      <c r="I32" s="68" t="e">
        <f>IF(I20&gt;0,0,Basiskosten_iL)</f>
        <v>#VALUE!</v>
      </c>
      <c r="J32" s="9"/>
    </row>
    <row r="33" spans="1:10">
      <c r="A33" s="472"/>
      <c r="B33" s="277" t="s">
        <v>284</v>
      </c>
      <c r="C33" s="67">
        <f>'5. Gesamt'!L58</f>
        <v>0</v>
      </c>
      <c r="D33" s="67" t="s">
        <v>281</v>
      </c>
      <c r="E33" s="73"/>
      <c r="G33" s="68">
        <f>IF(G10=Fachleistungsstundensatz,C33*h_pa_qA*Auslastung,IF(Modul=Modul_TS,C33*h_pa_qA*Auslastung,0))</f>
        <v>0</v>
      </c>
      <c r="H33" s="68">
        <f>C33*h_pa_qA*Auslastung</f>
        <v>0</v>
      </c>
      <c r="I33" s="67" t="e">
        <f>IF(I25&gt;0,0,'5. Gesamt'!F172)</f>
        <v>#VALUE!</v>
      </c>
    </row>
    <row r="34" spans="1:10">
      <c r="A34" s="472"/>
      <c r="B34" s="277" t="s">
        <v>188</v>
      </c>
      <c r="C34" s="67">
        <f>C32+C33</f>
        <v>0</v>
      </c>
      <c r="D34" s="67" t="s">
        <v>281</v>
      </c>
      <c r="E34" s="73"/>
      <c r="G34" s="68"/>
      <c r="H34" s="68"/>
      <c r="I34" s="67"/>
    </row>
    <row r="35" spans="1:10">
      <c r="A35" s="472"/>
      <c r="B35" s="66" t="s">
        <v>149</v>
      </c>
      <c r="C35" s="73"/>
      <c r="D35" s="73"/>
      <c r="E35" s="73"/>
      <c r="G35" s="67"/>
      <c r="H35" s="67"/>
      <c r="I35" s="67"/>
    </row>
    <row r="36" spans="1:10">
      <c r="A36" s="472"/>
      <c r="B36" s="277" t="s">
        <v>283</v>
      </c>
      <c r="C36" s="67">
        <f>'5. Gesamt'!L57</f>
        <v>0</v>
      </c>
      <c r="D36" s="67" t="s">
        <v>281</v>
      </c>
      <c r="E36" s="73"/>
      <c r="G36" s="68">
        <f>IF(G10=Fachleistungsstundensatz,C36*h_pa_kA*Auslastung,IF(Modul=Modul_TS,C36*h_pa_kA*Auslastung,0))</f>
        <v>0</v>
      </c>
      <c r="H36" s="68">
        <f>IF(Modul=Modul_Wohnen,IF(bisherige_Abrechnung=Tagessatz,0,C36*h_pa_kA*Auslastung),C36*h_pa_kA*Auslastung)</f>
        <v>0</v>
      </c>
      <c r="I36" s="68">
        <v>0</v>
      </c>
    </row>
    <row r="37" spans="1:10">
      <c r="A37" s="472"/>
      <c r="B37" s="277" t="s">
        <v>284</v>
      </c>
      <c r="C37" s="67">
        <f>FLS_kA</f>
        <v>0</v>
      </c>
      <c r="D37" s="67" t="s">
        <v>281</v>
      </c>
      <c r="E37" s="73"/>
      <c r="G37" s="67">
        <f>IF(G10=Fachleistungsstundensatz,C37*h_pa_kA*Auslastung,IF(Modul=Modul_TS,C37*h_pa_kA*Auslastung,0))</f>
        <v>0</v>
      </c>
      <c r="H37" s="67">
        <f>C37*h_pa_kA*Auslastung</f>
        <v>0</v>
      </c>
      <c r="I37" s="67">
        <f>'5. Gesamt'!F175</f>
        <v>0</v>
      </c>
    </row>
    <row r="38" spans="1:10" ht="16.5" thickBot="1">
      <c r="A38" s="40"/>
      <c r="B38" s="277" t="s">
        <v>188</v>
      </c>
      <c r="C38" s="67">
        <f>C36+C37</f>
        <v>0</v>
      </c>
      <c r="D38" s="67" t="s">
        <v>281</v>
      </c>
      <c r="E38" s="73"/>
      <c r="G38" s="278"/>
      <c r="H38" s="278"/>
      <c r="I38" s="278"/>
    </row>
    <row r="39" spans="1:10" ht="17.25" thickTop="1" thickBot="1">
      <c r="A39" s="39"/>
      <c r="B39"/>
      <c r="G39" s="69">
        <f>SUM(G32:G37)</f>
        <v>0</v>
      </c>
      <c r="H39" s="69">
        <f>SUM(H32:H37)</f>
        <v>0</v>
      </c>
      <c r="I39" s="69" t="e">
        <f>SUM(I32:I37)</f>
        <v>#VALUE!</v>
      </c>
    </row>
    <row r="40" spans="1:10" ht="16.5" thickTop="1">
      <c r="A40" s="39"/>
    </row>
    <row r="41" spans="1:10" ht="16.5" thickBot="1">
      <c r="J41" t="s">
        <v>282</v>
      </c>
    </row>
    <row r="42" spans="1:10" ht="17.25" thickTop="1" thickBot="1">
      <c r="G42" s="69" t="e">
        <f>G21+G25+G39</f>
        <v>#VALUE!</v>
      </c>
      <c r="H42" s="69" t="e">
        <f>H21+H25+H39</f>
        <v>#VALUE!</v>
      </c>
      <c r="I42" s="69" t="e">
        <f>'5. Gesamt'!I176</f>
        <v>#VALUE!</v>
      </c>
      <c r="J42" s="276" t="e">
        <f>I42-G42</f>
        <v>#VALUE!</v>
      </c>
    </row>
    <row r="43" spans="1:10" ht="16.5" thickTop="1"/>
  </sheetData>
  <mergeCells count="14">
    <mergeCell ref="A9:A10"/>
    <mergeCell ref="G9:I9"/>
    <mergeCell ref="G10:I10"/>
    <mergeCell ref="A13:A21"/>
    <mergeCell ref="A31:A37"/>
    <mergeCell ref="C31:E31"/>
    <mergeCell ref="G31:I31"/>
    <mergeCell ref="B4:D4"/>
    <mergeCell ref="B5:D5"/>
    <mergeCell ref="B6:D6"/>
    <mergeCell ref="B7:D7"/>
    <mergeCell ref="B1:D1"/>
    <mergeCell ref="B2:D2"/>
    <mergeCell ref="B3:D3"/>
  </mergeCells>
  <pageMargins left="0.7" right="0.7" top="0.78740157499999996" bottom="0.78740157499999996" header="0.3" footer="0.3"/>
  <pageSetup paperSize="9" scale="69" orientation="portrait" r:id="rId1"/>
  <headerFooter>
    <oddFooter>&amp;C1. Übersicht</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Q255"/>
  <sheetViews>
    <sheetView zoomScaleNormal="100" workbookViewId="0">
      <selection activeCell="C13" sqref="C13"/>
    </sheetView>
  </sheetViews>
  <sheetFormatPr baseColWidth="10" defaultColWidth="11.5" defaultRowHeight="15.75"/>
  <cols>
    <col min="1" max="1" width="22.625" style="91" customWidth="1"/>
    <col min="2" max="2" width="32.5" style="91" customWidth="1"/>
    <col min="3" max="3" width="25.125" style="91" customWidth="1"/>
    <col min="4" max="4" width="16.5" style="91" customWidth="1"/>
    <col min="5" max="5" width="34.375" style="93" customWidth="1"/>
    <col min="6" max="9" width="15.625" style="91" customWidth="1"/>
    <col min="10" max="10" width="22.875" style="92" customWidth="1"/>
    <col min="11" max="11" width="21" style="92" customWidth="1"/>
    <col min="12" max="12" width="15.625" style="92" customWidth="1"/>
    <col min="13" max="13" width="16.125" style="92" customWidth="1"/>
    <col min="14" max="14" width="22.875" style="91" bestFit="1" customWidth="1"/>
    <col min="15" max="15" width="38.375" style="91" customWidth="1"/>
    <col min="16" max="16384" width="11.5" style="91"/>
  </cols>
  <sheetData>
    <row r="1" spans="1:17" ht="16.5" thickBot="1"/>
    <row r="2" spans="1:17" ht="33.950000000000003" customHeight="1" thickBot="1">
      <c r="A2" s="478" t="s">
        <v>255</v>
      </c>
      <c r="B2" s="479"/>
      <c r="C2" s="479"/>
      <c r="D2" s="479"/>
      <c r="E2" s="479"/>
      <c r="F2" s="479"/>
      <c r="G2" s="479"/>
      <c r="H2" s="480"/>
    </row>
    <row r="3" spans="1:17" ht="33.950000000000003" customHeight="1">
      <c r="A3" s="148"/>
      <c r="B3" s="149" t="s">
        <v>35</v>
      </c>
      <c r="C3" s="149" t="s">
        <v>36</v>
      </c>
      <c r="D3" s="149" t="s">
        <v>0</v>
      </c>
      <c r="E3" s="149" t="s">
        <v>1</v>
      </c>
      <c r="F3" s="149" t="s">
        <v>2</v>
      </c>
      <c r="G3" s="149" t="s">
        <v>15</v>
      </c>
      <c r="H3" s="150" t="s">
        <v>182</v>
      </c>
    </row>
    <row r="4" spans="1:17" ht="33.950000000000003" customHeight="1">
      <c r="A4" s="101" t="s">
        <v>260</v>
      </c>
      <c r="B4" s="321" t="e">
        <f ca="1">(SUMIF($E$16:$E$253,"Q1a",$J$16:$J$253))/B5+(SUMIF($F$16:$F$253,"Q1a",$J$16:$J$253))/B5</f>
        <v>#DIV/0!</v>
      </c>
      <c r="C4" s="321" t="e">
        <f ca="1">(SUMIF($E$16:$E$253,"Q1b",$J$16:$J$253))/C5+(SUMIF($F$16:$F$253,"Q1b",$J$16:$J$253))/C5</f>
        <v>#DIV/0!</v>
      </c>
      <c r="D4" s="321" t="e">
        <f ca="1">(SUMIF($E$16:$E$253,"Q2",$J$16:$J$253))/D5+(SUMIF($F$16:$F$253,"Q2",$J$16:$J$253))/D5</f>
        <v>#DIV/0!</v>
      </c>
      <c r="E4" s="321" t="e">
        <f ca="1">(SUMIF($E$16:$E$253,"Q3",$J$16:$J$253))/E5+(SUMIF($F$16:$F$253,"Q3",$J$16:$J$253))/E5</f>
        <v>#DIV/0!</v>
      </c>
      <c r="F4" s="321" t="e">
        <f ca="1">(SUMIF($E$16:$E$253,"Q4",$J$16:$J$253))/F5+(SUMIF($F$16:$F$253,"Q4",$J$16:$J$253))/F5</f>
        <v>#DIV/0!</v>
      </c>
      <c r="G4" s="319" t="e">
        <f ca="1">(B4*B5)+(C4*C5)+(D4*D5)+(E4*E5)+(F5*F4)</f>
        <v>#DIV/0!</v>
      </c>
      <c r="H4" s="251">
        <f>SUM($J$14:$J$251)</f>
        <v>0</v>
      </c>
      <c r="L4" s="100"/>
    </row>
    <row r="5" spans="1:17" ht="33.950000000000003" customHeight="1">
      <c r="A5" s="99" t="s">
        <v>181</v>
      </c>
      <c r="B5" s="320">
        <f ca="1">SUMIF($E$16:$G$253,"Q1a",$G$16:$G$253)+SUMIF($F$16:$F$253,"Q1a",$G$16:$G$253)</f>
        <v>0</v>
      </c>
      <c r="C5" s="320">
        <f ca="1">SUMIF($E$16:$G$253,"Q1b",$G$16:$G$253)+SUMIF($F$16:$F$253,"Q1b",$G$16:$G$253)</f>
        <v>0</v>
      </c>
      <c r="D5" s="320">
        <f ca="1">SUMIF($E$16:$G$253,"Q2",$G$16:$G$253)+SUMIF($F$16:$F$253,"Q2",$G$16:$G$253)</f>
        <v>0</v>
      </c>
      <c r="E5" s="320">
        <f ca="1">SUMIF($E$16:$G$253,"Q3",$G$16:$G$253)+SUMIF($F$16:$F$253,"Q3",$G$16:$G$253)</f>
        <v>0</v>
      </c>
      <c r="F5" s="320">
        <f ca="1">SUMIF($E$16:$G$253,"Q4",$G$16:$G$253)+SUMIF($F$16:$F$253,"Q4",$G$16:$G$253)</f>
        <v>0</v>
      </c>
      <c r="G5" s="320">
        <f ca="1">SUM(B5:F5)</f>
        <v>0</v>
      </c>
      <c r="H5" s="151">
        <f>SUM(G14:G251)</f>
        <v>0</v>
      </c>
      <c r="L5" s="100"/>
    </row>
    <row r="6" spans="1:17" ht="33.950000000000003" customHeight="1" thickBot="1">
      <c r="A6" s="119"/>
      <c r="B6" s="117"/>
      <c r="C6" s="117"/>
      <c r="D6" s="117"/>
      <c r="E6" s="117"/>
      <c r="F6" s="117"/>
      <c r="G6" s="117"/>
      <c r="H6" s="117" t="e">
        <f ca="1">H4-G4</f>
        <v>#DIV/0!</v>
      </c>
      <c r="L6" s="100"/>
    </row>
    <row r="7" spans="1:17" ht="33.950000000000003" customHeight="1" thickBot="1">
      <c r="A7" s="549"/>
      <c r="B7" s="549"/>
      <c r="C7" s="548" t="s">
        <v>256</v>
      </c>
      <c r="D7" s="549"/>
      <c r="E7" s="549"/>
      <c r="F7" s="549"/>
      <c r="G7" s="549"/>
      <c r="H7" s="550"/>
      <c r="L7" s="100"/>
    </row>
    <row r="8" spans="1:17" ht="33.950000000000003" customHeight="1">
      <c r="A8" s="148"/>
      <c r="B8" s="149" t="s">
        <v>35</v>
      </c>
      <c r="C8" s="149" t="s">
        <v>36</v>
      </c>
      <c r="D8" s="149" t="s">
        <v>0</v>
      </c>
      <c r="E8" s="149" t="s">
        <v>1</v>
      </c>
      <c r="F8" s="149" t="s">
        <v>2</v>
      </c>
      <c r="G8" s="149" t="s">
        <v>15</v>
      </c>
      <c r="H8" s="150" t="s">
        <v>182</v>
      </c>
      <c r="L8" s="100"/>
    </row>
    <row r="9" spans="1:17" ht="33.950000000000003" customHeight="1">
      <c r="A9" s="101" t="s">
        <v>260</v>
      </c>
      <c r="B9" s="321" t="e">
        <f>SUMIF($E$16:$E$253,B8,$N$16:$N$253)/B10+SUMIF($F$16:$F$253,B8,$N$16:$N$253)/B10</f>
        <v>#DIV/0!</v>
      </c>
      <c r="C9" s="321" t="e">
        <f>SUMIF($E$16:$E$253,C8,$N$16:$N$253)/C10+SUMIF($F$16:$F$253,C8,$N$16:$N$253)/C10</f>
        <v>#DIV/0!</v>
      </c>
      <c r="D9" s="321" t="e">
        <f>SUMIF($E$16:$E$253,D8,$N$16:$N$253)/D10+SUMIF($F$16:$F$253,D8,$N$16:$N$253)/D10</f>
        <v>#DIV/0!</v>
      </c>
      <c r="E9" s="321" t="e">
        <f>SUMIF($E$16:$E$253,E8,$N$16:$N$253)/E10+SUMIF($F$16:$F$253,E8,$N$16:$N$253)/E10</f>
        <v>#DIV/0!</v>
      </c>
      <c r="F9" s="321" t="e">
        <f>SUMIF($E$16:$E$253,F8,$N$16:$N$253)/F10+SUMIF($F$16:$F$253,F8,$N$16:$N$253)/F10</f>
        <v>#DIV/0!</v>
      </c>
      <c r="G9" s="321" t="e">
        <f>(B9*B10)+(C9*C10)+(D9*D10)+(E9*E10)+(F9*F10)</f>
        <v>#DIV/0!</v>
      </c>
      <c r="H9" s="251">
        <f>SUM($N$16:$N$251)</f>
        <v>0</v>
      </c>
      <c r="L9" s="100"/>
    </row>
    <row r="10" spans="1:17" ht="33.950000000000003" customHeight="1">
      <c r="A10" s="99" t="s">
        <v>181</v>
      </c>
      <c r="B10" s="322">
        <f>SUMIF($E$16:$E$253,"Q1a",$K$16:$K$253)+SUMIF($F$16:$F$253,"Q1a",$K$16:$K$253)</f>
        <v>0</v>
      </c>
      <c r="C10" s="322">
        <f>SUMIF($E$16:$E$253,"Q1b",$K$16:$K$253)+SUMIF($F$16:$F$253,"Q1b",$K$16:$K$253)</f>
        <v>0</v>
      </c>
      <c r="D10" s="322">
        <f>SUMIF($E$16:$E$253,"Q2",$K$16:$K$253)+SUMIF($F$16:$F$253,"Q2",$K$16:$K$253)</f>
        <v>0</v>
      </c>
      <c r="E10" s="322">
        <f>SUMIF($E$16:$E$253,"Q3",$K$16:$K$253)+SUMIF($F$16:$F$253,"Q3",$K$16:$K$253)</f>
        <v>0</v>
      </c>
      <c r="F10" s="322">
        <f>SUMIF($E$16:$E$253,"Q4",$K$16:$K$253)+SUMIF($F$16:$F$253,"Q4",$K$16:$K$253)</f>
        <v>0</v>
      </c>
      <c r="G10" s="320">
        <f>SUM(B10:F10)</f>
        <v>0</v>
      </c>
      <c r="H10" s="151">
        <f>SUM(K14:K251)</f>
        <v>0</v>
      </c>
      <c r="L10" s="100"/>
    </row>
    <row r="11" spans="1:17" ht="33.950000000000003" customHeight="1" thickBot="1">
      <c r="A11" s="119"/>
      <c r="B11" s="117"/>
      <c r="C11" s="117"/>
      <c r="D11" s="117"/>
      <c r="E11" s="117"/>
      <c r="F11" s="117"/>
      <c r="G11" s="117"/>
      <c r="H11" s="117" t="e">
        <f>H9-G9</f>
        <v>#DIV/0!</v>
      </c>
      <c r="L11" s="100"/>
    </row>
    <row r="12" spans="1:17">
      <c r="A12" s="551"/>
      <c r="B12" s="551"/>
      <c r="C12" s="551"/>
      <c r="D12" s="551"/>
      <c r="E12" s="551"/>
      <c r="F12" s="551"/>
      <c r="G12" s="551"/>
      <c r="H12" s="552"/>
      <c r="I12" s="103"/>
      <c r="J12" s="103"/>
      <c r="K12" s="103"/>
    </row>
    <row r="13" spans="1:17" ht="42" customHeight="1" thickBot="1">
      <c r="A13" s="553"/>
      <c r="B13" s="554"/>
      <c r="C13" s="638" t="s">
        <v>180</v>
      </c>
      <c r="D13" s="554"/>
      <c r="E13" s="554"/>
      <c r="F13" s="554"/>
      <c r="G13" s="554"/>
      <c r="H13" s="555"/>
      <c r="I13" s="252"/>
      <c r="J13" s="252"/>
      <c r="K13" s="252"/>
    </row>
    <row r="14" spans="1:17" ht="51.95" customHeight="1">
      <c r="A14" s="556"/>
      <c r="B14" s="556"/>
      <c r="C14" s="556" t="s">
        <v>179</v>
      </c>
      <c r="D14" s="556"/>
      <c r="E14" s="556"/>
      <c r="F14" s="557"/>
      <c r="G14" s="481" t="s">
        <v>345</v>
      </c>
      <c r="H14" s="482"/>
      <c r="I14" s="483"/>
      <c r="J14" s="484"/>
      <c r="K14" s="485" t="s">
        <v>346</v>
      </c>
      <c r="L14" s="483"/>
      <c r="M14" s="483"/>
      <c r="N14" s="486"/>
    </row>
    <row r="15" spans="1:17" ht="63">
      <c r="A15" s="109" t="s">
        <v>57</v>
      </c>
      <c r="B15" s="109" t="s">
        <v>177</v>
      </c>
      <c r="C15" s="109" t="s">
        <v>176</v>
      </c>
      <c r="D15" s="109" t="s">
        <v>175</v>
      </c>
      <c r="E15" s="109" t="s">
        <v>56</v>
      </c>
      <c r="F15" s="109" t="s">
        <v>274</v>
      </c>
      <c r="G15" s="109" t="s">
        <v>174</v>
      </c>
      <c r="H15" s="150" t="s">
        <v>173</v>
      </c>
      <c r="I15" s="150" t="s">
        <v>172</v>
      </c>
      <c r="J15" s="317" t="s">
        <v>171</v>
      </c>
      <c r="K15" s="109" t="s">
        <v>174</v>
      </c>
      <c r="L15" s="109" t="s">
        <v>173</v>
      </c>
      <c r="M15" s="109" t="s">
        <v>172</v>
      </c>
      <c r="N15" s="318" t="s">
        <v>171</v>
      </c>
      <c r="O15" s="97" t="s">
        <v>170</v>
      </c>
    </row>
    <row r="16" spans="1:17">
      <c r="A16" s="95"/>
      <c r="B16" s="307"/>
      <c r="C16" s="308"/>
      <c r="D16" s="309"/>
      <c r="E16" s="113" t="str">
        <f>IFERROR(INDEX(Listen!$B$1:$B$38,MATCH(B16,Listen!$A$1:$A$38,0),1),"")</f>
        <v/>
      </c>
      <c r="F16" s="313"/>
      <c r="G16" s="313"/>
      <c r="H16" s="314"/>
      <c r="I16" s="309"/>
      <c r="J16" s="315"/>
      <c r="K16" s="313"/>
      <c r="L16" s="314"/>
      <c r="M16" s="309"/>
      <c r="N16" s="315"/>
      <c r="O16" s="314"/>
      <c r="Q16" s="96"/>
    </row>
    <row r="17" spans="1:15">
      <c r="A17" s="95"/>
      <c r="B17" s="307"/>
      <c r="C17" s="308"/>
      <c r="D17" s="309"/>
      <c r="E17" s="113" t="str">
        <f>IFERROR(INDEX(Listen!$B$1:$B$38,MATCH(B17,Listen!$A$1:$A$38,0),1),"")</f>
        <v/>
      </c>
      <c r="F17" s="313"/>
      <c r="G17" s="313"/>
      <c r="H17" s="314"/>
      <c r="I17" s="309"/>
      <c r="J17" s="315"/>
      <c r="K17" s="313"/>
      <c r="L17" s="314"/>
      <c r="M17" s="309"/>
      <c r="N17" s="315"/>
      <c r="O17" s="314"/>
    </row>
    <row r="18" spans="1:15">
      <c r="A18" s="95"/>
      <c r="B18" s="307"/>
      <c r="C18" s="308"/>
      <c r="D18" s="309"/>
      <c r="E18" s="113" t="str">
        <f>IFERROR(INDEX(Listen!$B$1:$B$38,MATCH(B18,Listen!$A$1:$A$38,0),1),"")</f>
        <v/>
      </c>
      <c r="F18" s="313"/>
      <c r="G18" s="313"/>
      <c r="H18" s="314"/>
      <c r="I18" s="309"/>
      <c r="J18" s="315"/>
      <c r="K18" s="313"/>
      <c r="L18" s="314"/>
      <c r="M18" s="309"/>
      <c r="N18" s="315"/>
      <c r="O18" s="314"/>
    </row>
    <row r="19" spans="1:15">
      <c r="A19" s="95"/>
      <c r="B19" s="307"/>
      <c r="C19" s="308"/>
      <c r="D19" s="309"/>
      <c r="E19" s="113" t="str">
        <f>IFERROR(INDEX(Listen!$B$1:$B$38,MATCH(B19,Listen!$A$1:$A$38,0),1),"")</f>
        <v/>
      </c>
      <c r="F19" s="313"/>
      <c r="G19" s="313"/>
      <c r="H19" s="314"/>
      <c r="I19" s="309"/>
      <c r="J19" s="315"/>
      <c r="K19" s="313"/>
      <c r="L19" s="314"/>
      <c r="M19" s="309"/>
      <c r="N19" s="315"/>
      <c r="O19" s="314"/>
    </row>
    <row r="20" spans="1:15">
      <c r="A20" s="95"/>
      <c r="B20" s="307"/>
      <c r="C20" s="308"/>
      <c r="D20" s="309"/>
      <c r="E20" s="113" t="str">
        <f>IFERROR(INDEX(Listen!$B$1:$B$38,MATCH(B20,Listen!$A$1:$A$38,0),1),"")</f>
        <v/>
      </c>
      <c r="F20" s="313"/>
      <c r="G20" s="313"/>
      <c r="H20" s="314"/>
      <c r="I20" s="309"/>
      <c r="J20" s="315"/>
      <c r="K20" s="313"/>
      <c r="L20" s="314"/>
      <c r="M20" s="309"/>
      <c r="N20" s="315"/>
      <c r="O20" s="314"/>
    </row>
    <row r="21" spans="1:15">
      <c r="A21" s="95"/>
      <c r="B21" s="307"/>
      <c r="C21" s="308"/>
      <c r="D21" s="309"/>
      <c r="E21" s="113" t="str">
        <f>IFERROR(INDEX(Listen!$B$1:$B$38,MATCH(B21,Listen!$A$1:$A$38,0),1),"")</f>
        <v/>
      </c>
      <c r="F21" s="311"/>
      <c r="G21" s="313"/>
      <c r="H21" s="314"/>
      <c r="I21" s="309"/>
      <c r="J21" s="315"/>
      <c r="K21" s="313"/>
      <c r="L21" s="314"/>
      <c r="M21" s="309"/>
      <c r="N21" s="315"/>
      <c r="O21" s="314"/>
    </row>
    <row r="22" spans="1:15">
      <c r="A22" s="95"/>
      <c r="B22" s="307"/>
      <c r="C22" s="308"/>
      <c r="D22" s="309"/>
      <c r="E22" s="113" t="str">
        <f>IFERROR(INDEX(Listen!$B$1:$B$38,MATCH(B22,Listen!$A$1:$A$38,0),1),"")</f>
        <v/>
      </c>
      <c r="F22" s="311"/>
      <c r="G22" s="313"/>
      <c r="H22" s="314"/>
      <c r="I22" s="309"/>
      <c r="J22" s="315"/>
      <c r="K22" s="313"/>
      <c r="L22" s="314"/>
      <c r="M22" s="309"/>
      <c r="N22" s="315"/>
      <c r="O22" s="314"/>
    </row>
    <row r="23" spans="1:15">
      <c r="A23" s="95"/>
      <c r="B23" s="307"/>
      <c r="C23" s="308"/>
      <c r="D23" s="309"/>
      <c r="E23" s="113" t="str">
        <f>IFERROR(INDEX(Listen!$B$1:$B$38,MATCH(B23,Listen!$A$1:$A$38,0),1),"")</f>
        <v/>
      </c>
      <c r="F23" s="311"/>
      <c r="G23" s="313"/>
      <c r="H23" s="314"/>
      <c r="I23" s="309"/>
      <c r="J23" s="315"/>
      <c r="K23" s="313"/>
      <c r="L23" s="314"/>
      <c r="M23" s="309"/>
      <c r="N23" s="315"/>
      <c r="O23" s="314"/>
    </row>
    <row r="24" spans="1:15">
      <c r="A24" s="95"/>
      <c r="B24" s="307"/>
      <c r="C24" s="308"/>
      <c r="D24" s="309"/>
      <c r="E24" s="113" t="str">
        <f>IFERROR(INDEX(Listen!$B$1:$B$38,MATCH(B24,Listen!$A$1:$A$38,0),1),"")</f>
        <v/>
      </c>
      <c r="F24" s="311"/>
      <c r="G24" s="313"/>
      <c r="H24" s="314"/>
      <c r="I24" s="309"/>
      <c r="J24" s="315"/>
      <c r="K24" s="313"/>
      <c r="L24" s="314"/>
      <c r="M24" s="309"/>
      <c r="N24" s="315"/>
      <c r="O24" s="314"/>
    </row>
    <row r="25" spans="1:15">
      <c r="A25" s="95"/>
      <c r="B25" s="307"/>
      <c r="C25" s="308"/>
      <c r="D25" s="309"/>
      <c r="E25" s="113" t="str">
        <f>IFERROR(INDEX(Listen!$B$1:$B$38,MATCH(B25,Listen!$A$1:$A$38,0),1),"")</f>
        <v/>
      </c>
      <c r="F25" s="311"/>
      <c r="G25" s="313"/>
      <c r="H25" s="314"/>
      <c r="I25" s="309"/>
      <c r="J25" s="315"/>
      <c r="K25" s="313"/>
      <c r="L25" s="314"/>
      <c r="M25" s="309"/>
      <c r="N25" s="315"/>
      <c r="O25" s="314"/>
    </row>
    <row r="26" spans="1:15">
      <c r="A26" s="95"/>
      <c r="B26" s="307"/>
      <c r="C26" s="308"/>
      <c r="D26" s="309"/>
      <c r="E26" s="113" t="str">
        <f>IFERROR(INDEX(Listen!$B$1:$B$38,MATCH(B26,Listen!$A$1:$A$38,0),1),"")</f>
        <v/>
      </c>
      <c r="F26" s="311"/>
      <c r="G26" s="313"/>
      <c r="H26" s="314"/>
      <c r="I26" s="309"/>
      <c r="J26" s="315"/>
      <c r="K26" s="313"/>
      <c r="L26" s="314"/>
      <c r="M26" s="309"/>
      <c r="N26" s="315"/>
      <c r="O26" s="314"/>
    </row>
    <row r="27" spans="1:15">
      <c r="A27" s="95"/>
      <c r="B27" s="307"/>
      <c r="C27" s="308"/>
      <c r="D27" s="309"/>
      <c r="E27" s="113" t="str">
        <f>IFERROR(INDEX(Listen!$B$1:$B$38,MATCH(B27,Listen!$A$1:$A$38,0),1),"")</f>
        <v/>
      </c>
      <c r="F27" s="311"/>
      <c r="G27" s="313"/>
      <c r="H27" s="314"/>
      <c r="I27" s="309"/>
      <c r="J27" s="315"/>
      <c r="K27" s="313"/>
      <c r="L27" s="314"/>
      <c r="M27" s="309"/>
      <c r="N27" s="315"/>
      <c r="O27" s="314"/>
    </row>
    <row r="28" spans="1:15">
      <c r="A28" s="95"/>
      <c r="B28" s="307"/>
      <c r="C28" s="308"/>
      <c r="D28" s="309"/>
      <c r="E28" s="113" t="str">
        <f>IFERROR(INDEX(Listen!$B$1:$B$38,MATCH(B28,Listen!$A$1:$A$38,0),1),"")</f>
        <v/>
      </c>
      <c r="F28" s="311"/>
      <c r="G28" s="313"/>
      <c r="H28" s="314"/>
      <c r="I28" s="309"/>
      <c r="J28" s="315"/>
      <c r="K28" s="313"/>
      <c r="L28" s="309"/>
      <c r="M28" s="309"/>
      <c r="N28" s="315"/>
      <c r="O28" s="314"/>
    </row>
    <row r="29" spans="1:15">
      <c r="A29" s="95"/>
      <c r="B29" s="307"/>
      <c r="C29" s="308"/>
      <c r="D29" s="309"/>
      <c r="E29" s="113" t="str">
        <f>IFERROR(INDEX(Listen!$B$1:$B$38,MATCH(B29,Listen!$A$1:$A$38,0),1),"")</f>
        <v/>
      </c>
      <c r="F29" s="311"/>
      <c r="G29" s="313"/>
      <c r="H29" s="314"/>
      <c r="I29" s="309"/>
      <c r="J29" s="315"/>
      <c r="K29" s="313"/>
      <c r="L29" s="309"/>
      <c r="M29" s="309"/>
      <c r="N29" s="315"/>
      <c r="O29" s="314"/>
    </row>
    <row r="30" spans="1:15">
      <c r="A30" s="95"/>
      <c r="B30" s="307"/>
      <c r="C30" s="308"/>
      <c r="D30" s="309"/>
      <c r="E30" s="113" t="str">
        <f>IFERROR(INDEX(Listen!$B$1:$B$38,MATCH(B30,Listen!$A$1:$A$38,0),1),"")</f>
        <v/>
      </c>
      <c r="F30" s="311"/>
      <c r="G30" s="313"/>
      <c r="H30" s="314"/>
      <c r="I30" s="309"/>
      <c r="J30" s="315"/>
      <c r="K30" s="313"/>
      <c r="L30" s="309"/>
      <c r="M30" s="309"/>
      <c r="N30" s="315"/>
      <c r="O30" s="314"/>
    </row>
    <row r="31" spans="1:15">
      <c r="A31" s="95"/>
      <c r="B31" s="307"/>
      <c r="C31" s="308"/>
      <c r="D31" s="309"/>
      <c r="E31" s="113" t="str">
        <f>IFERROR(INDEX(Listen!$B$1:$B$38,MATCH(B31,Listen!$A$1:$A$38,0),1),"")</f>
        <v/>
      </c>
      <c r="F31" s="311"/>
      <c r="G31" s="313"/>
      <c r="H31" s="314"/>
      <c r="I31" s="309"/>
      <c r="J31" s="315"/>
      <c r="K31" s="313"/>
      <c r="L31" s="309"/>
      <c r="M31" s="309"/>
      <c r="N31" s="315"/>
      <c r="O31" s="314"/>
    </row>
    <row r="32" spans="1:15">
      <c r="A32" s="95"/>
      <c r="B32" s="307"/>
      <c r="C32" s="308"/>
      <c r="D32" s="309"/>
      <c r="E32" s="113" t="str">
        <f>IFERROR(INDEX(Listen!$B$1:$B$38,MATCH(B32,Listen!$A$1:$A$38,0),1),"")</f>
        <v/>
      </c>
      <c r="F32" s="311"/>
      <c r="G32" s="313"/>
      <c r="H32" s="314"/>
      <c r="I32" s="309"/>
      <c r="J32" s="315"/>
      <c r="K32" s="313"/>
      <c r="L32" s="309"/>
      <c r="M32" s="309"/>
      <c r="N32" s="315"/>
      <c r="O32" s="314"/>
    </row>
    <row r="33" spans="1:15">
      <c r="A33" s="95"/>
      <c r="B33" s="307"/>
      <c r="C33" s="308"/>
      <c r="D33" s="309"/>
      <c r="E33" s="113" t="str">
        <f>IFERROR(INDEX(Listen!$B$1:$B$38,MATCH(B33,Listen!$A$1:$A$38,0),1),"")</f>
        <v/>
      </c>
      <c r="F33" s="311"/>
      <c r="G33" s="313"/>
      <c r="H33" s="314"/>
      <c r="I33" s="309"/>
      <c r="J33" s="315"/>
      <c r="K33" s="313"/>
      <c r="L33" s="309"/>
      <c r="M33" s="309"/>
      <c r="N33" s="315"/>
      <c r="O33" s="314"/>
    </row>
    <row r="34" spans="1:15">
      <c r="A34" s="95"/>
      <c r="B34" s="307"/>
      <c r="C34" s="308"/>
      <c r="D34" s="309"/>
      <c r="E34" s="113" t="str">
        <f>IFERROR(INDEX(Listen!$B$1:$B$38,MATCH(B34,Listen!$A$1:$A$38,0),1),"")</f>
        <v/>
      </c>
      <c r="F34" s="311"/>
      <c r="G34" s="313"/>
      <c r="H34" s="314"/>
      <c r="I34" s="309"/>
      <c r="J34" s="315"/>
      <c r="K34" s="313"/>
      <c r="L34" s="309"/>
      <c r="M34" s="309"/>
      <c r="N34" s="315"/>
      <c r="O34" s="314"/>
    </row>
    <row r="35" spans="1:15">
      <c r="A35" s="95"/>
      <c r="B35" s="307"/>
      <c r="C35" s="308"/>
      <c r="D35" s="309"/>
      <c r="E35" s="113" t="str">
        <f>IFERROR(INDEX(Listen!$B$1:$B$38,MATCH(B35,Listen!$A$1:$A$38,0),1),"")</f>
        <v/>
      </c>
      <c r="F35" s="311"/>
      <c r="G35" s="313"/>
      <c r="H35" s="314"/>
      <c r="I35" s="309"/>
      <c r="J35" s="315"/>
      <c r="K35" s="313"/>
      <c r="L35" s="309"/>
      <c r="M35" s="309"/>
      <c r="N35" s="315"/>
      <c r="O35" s="314"/>
    </row>
    <row r="36" spans="1:15">
      <c r="A36" s="95"/>
      <c r="B36" s="307"/>
      <c r="C36" s="308"/>
      <c r="D36" s="309"/>
      <c r="E36" s="113" t="str">
        <f>IFERROR(INDEX(Listen!$B$1:$B$38,MATCH(B36,Listen!$A$1:$A$38,0),1),"")</f>
        <v/>
      </c>
      <c r="F36" s="311"/>
      <c r="G36" s="313"/>
      <c r="H36" s="314"/>
      <c r="I36" s="309"/>
      <c r="J36" s="315"/>
      <c r="K36" s="313"/>
      <c r="L36" s="309"/>
      <c r="M36" s="309"/>
      <c r="N36" s="315"/>
      <c r="O36" s="314"/>
    </row>
    <row r="37" spans="1:15">
      <c r="A37" s="95"/>
      <c r="B37" s="307"/>
      <c r="C37" s="308"/>
      <c r="D37" s="309"/>
      <c r="E37" s="113" t="str">
        <f>IFERROR(INDEX(Listen!$B$1:$B$38,MATCH(B37,Listen!$A$1:$A$38,0),1),"")</f>
        <v/>
      </c>
      <c r="F37" s="311"/>
      <c r="G37" s="313"/>
      <c r="H37" s="314"/>
      <c r="I37" s="309"/>
      <c r="J37" s="315"/>
      <c r="K37" s="313"/>
      <c r="L37" s="309"/>
      <c r="M37" s="309"/>
      <c r="N37" s="315"/>
      <c r="O37" s="314"/>
    </row>
    <row r="38" spans="1:15">
      <c r="A38" s="95"/>
      <c r="B38" s="307"/>
      <c r="C38" s="308"/>
      <c r="D38" s="309"/>
      <c r="E38" s="113" t="str">
        <f>IFERROR(INDEX(Listen!$B$1:$B$38,MATCH(B38,Listen!$A$1:$A$38,0),1),"")</f>
        <v/>
      </c>
      <c r="F38" s="311"/>
      <c r="G38" s="313"/>
      <c r="H38" s="314"/>
      <c r="I38" s="309"/>
      <c r="J38" s="315"/>
      <c r="K38" s="313"/>
      <c r="L38" s="309"/>
      <c r="M38" s="309"/>
      <c r="N38" s="315"/>
      <c r="O38" s="314"/>
    </row>
    <row r="39" spans="1:15">
      <c r="A39" s="95"/>
      <c r="B39" s="307"/>
      <c r="C39" s="308"/>
      <c r="D39" s="309"/>
      <c r="E39" s="113" t="str">
        <f>IFERROR(INDEX(Listen!$B$1:$B$38,MATCH(B39,Listen!$A$1:$A$38,0),1),"")</f>
        <v/>
      </c>
      <c r="F39" s="311"/>
      <c r="G39" s="313"/>
      <c r="H39" s="314"/>
      <c r="I39" s="309"/>
      <c r="J39" s="315"/>
      <c r="K39" s="313"/>
      <c r="L39" s="309"/>
      <c r="M39" s="309"/>
      <c r="N39" s="315"/>
      <c r="O39" s="314"/>
    </row>
    <row r="40" spans="1:15">
      <c r="A40" s="95"/>
      <c r="B40" s="307"/>
      <c r="C40" s="308"/>
      <c r="D40" s="309"/>
      <c r="E40" s="113" t="str">
        <f>IFERROR(INDEX(Listen!$B$1:$B$38,MATCH(B40,Listen!$A$1:$A$38,0),1),"")</f>
        <v/>
      </c>
      <c r="F40" s="311"/>
      <c r="G40" s="313"/>
      <c r="H40" s="314"/>
      <c r="I40" s="309"/>
      <c r="J40" s="315"/>
      <c r="K40" s="313"/>
      <c r="L40" s="309"/>
      <c r="M40" s="309"/>
      <c r="N40" s="315"/>
      <c r="O40" s="314"/>
    </row>
    <row r="41" spans="1:15">
      <c r="A41" s="95"/>
      <c r="B41" s="307"/>
      <c r="C41" s="308"/>
      <c r="D41" s="309"/>
      <c r="E41" s="113" t="str">
        <f>IFERROR(INDEX(Listen!$B$1:$B$38,MATCH(B41,Listen!$A$1:$A$38,0),1),"")</f>
        <v/>
      </c>
      <c r="F41" s="311"/>
      <c r="G41" s="313"/>
      <c r="H41" s="314"/>
      <c r="I41" s="309"/>
      <c r="J41" s="315"/>
      <c r="K41" s="313"/>
      <c r="L41" s="309"/>
      <c r="M41" s="309"/>
      <c r="N41" s="315"/>
      <c r="O41" s="314"/>
    </row>
    <row r="42" spans="1:15">
      <c r="A42" s="95"/>
      <c r="B42" s="307"/>
      <c r="C42" s="308"/>
      <c r="D42" s="309"/>
      <c r="E42" s="113" t="str">
        <f>IFERROR(INDEX(Listen!$B$1:$B$38,MATCH(B42,Listen!$A$1:$A$38,0),1),"")</f>
        <v/>
      </c>
      <c r="F42" s="311"/>
      <c r="G42" s="313"/>
      <c r="H42" s="314"/>
      <c r="I42" s="309"/>
      <c r="J42" s="315"/>
      <c r="K42" s="313"/>
      <c r="L42" s="309"/>
      <c r="M42" s="309"/>
      <c r="N42" s="315"/>
      <c r="O42" s="314"/>
    </row>
    <row r="43" spans="1:15">
      <c r="A43" s="95"/>
      <c r="B43" s="307"/>
      <c r="C43" s="308"/>
      <c r="D43" s="309"/>
      <c r="E43" s="113" t="str">
        <f>IFERROR(INDEX(Listen!$B$1:$B$38,MATCH(B43,Listen!$A$1:$A$38,0),1),"")</f>
        <v/>
      </c>
      <c r="F43" s="311"/>
      <c r="G43" s="313"/>
      <c r="H43" s="314"/>
      <c r="I43" s="309"/>
      <c r="J43" s="315"/>
      <c r="K43" s="313"/>
      <c r="L43" s="309"/>
      <c r="M43" s="309"/>
      <c r="N43" s="315"/>
      <c r="O43" s="314"/>
    </row>
    <row r="44" spans="1:15">
      <c r="A44" s="95"/>
      <c r="B44" s="307"/>
      <c r="C44" s="308"/>
      <c r="D44" s="309"/>
      <c r="E44" s="113" t="str">
        <f>IFERROR(INDEX(Listen!$B$1:$B$38,MATCH(B44,Listen!$A$1:$A$38,0),1),"")</f>
        <v/>
      </c>
      <c r="F44" s="311"/>
      <c r="G44" s="313"/>
      <c r="H44" s="314"/>
      <c r="I44" s="309"/>
      <c r="J44" s="315"/>
      <c r="K44" s="313"/>
      <c r="L44" s="309"/>
      <c r="M44" s="309"/>
      <c r="N44" s="315"/>
      <c r="O44" s="314"/>
    </row>
    <row r="45" spans="1:15">
      <c r="A45" s="95"/>
      <c r="B45" s="307"/>
      <c r="C45" s="308"/>
      <c r="D45" s="309"/>
      <c r="E45" s="113" t="str">
        <f>IFERROR(INDEX(Listen!$B$1:$B$38,MATCH(B45,Listen!$A$1:$A$38,0),1),"")</f>
        <v/>
      </c>
      <c r="F45" s="311"/>
      <c r="G45" s="313"/>
      <c r="H45" s="314"/>
      <c r="I45" s="309"/>
      <c r="J45" s="315"/>
      <c r="K45" s="313"/>
      <c r="L45" s="309"/>
      <c r="M45" s="309"/>
      <c r="N45" s="315"/>
      <c r="O45" s="314"/>
    </row>
    <row r="46" spans="1:15">
      <c r="A46" s="95"/>
      <c r="B46" s="307"/>
      <c r="C46" s="308"/>
      <c r="D46" s="309"/>
      <c r="E46" s="113" t="str">
        <f>IFERROR(INDEX(Listen!$B$1:$B$38,MATCH(B46,Listen!$A$1:$A$38,0),1),"")</f>
        <v/>
      </c>
      <c r="F46" s="311"/>
      <c r="G46" s="313"/>
      <c r="H46" s="314"/>
      <c r="I46" s="309"/>
      <c r="J46" s="315"/>
      <c r="K46" s="313"/>
      <c r="L46" s="309"/>
      <c r="M46" s="309"/>
      <c r="N46" s="315"/>
      <c r="O46" s="314"/>
    </row>
    <row r="47" spans="1:15">
      <c r="A47" s="95"/>
      <c r="B47" s="307"/>
      <c r="C47" s="308"/>
      <c r="D47" s="309"/>
      <c r="E47" s="113" t="str">
        <f>IFERROR(INDEX(Listen!$B$1:$B$38,MATCH(B47,Listen!$A$1:$A$38,0),1),"")</f>
        <v/>
      </c>
      <c r="F47" s="311"/>
      <c r="G47" s="313"/>
      <c r="H47" s="314"/>
      <c r="I47" s="309"/>
      <c r="J47" s="315"/>
      <c r="K47" s="313"/>
      <c r="L47" s="309"/>
      <c r="M47" s="309"/>
      <c r="N47" s="315"/>
      <c r="O47" s="314"/>
    </row>
    <row r="48" spans="1:15">
      <c r="A48" s="95"/>
      <c r="B48" s="307"/>
      <c r="C48" s="308"/>
      <c r="D48" s="309"/>
      <c r="E48" s="113" t="str">
        <f>IFERROR(INDEX(Listen!$B$1:$B$38,MATCH(B48,Listen!$A$1:$A$38,0),1),"")</f>
        <v/>
      </c>
      <c r="F48" s="311"/>
      <c r="G48" s="313"/>
      <c r="H48" s="314"/>
      <c r="I48" s="309"/>
      <c r="J48" s="315"/>
      <c r="K48" s="313"/>
      <c r="L48" s="309"/>
      <c r="M48" s="309"/>
      <c r="N48" s="315"/>
      <c r="O48" s="314"/>
    </row>
    <row r="49" spans="1:15">
      <c r="A49" s="95"/>
      <c r="B49" s="307"/>
      <c r="C49" s="308"/>
      <c r="D49" s="309"/>
      <c r="E49" s="113" t="str">
        <f>IFERROR(INDEX(Listen!$B$1:$B$38,MATCH(B49,Listen!$A$1:$A$38,0),1),"")</f>
        <v/>
      </c>
      <c r="F49" s="311"/>
      <c r="G49" s="313"/>
      <c r="H49" s="314"/>
      <c r="I49" s="309"/>
      <c r="J49" s="315"/>
      <c r="K49" s="313"/>
      <c r="L49" s="309"/>
      <c r="M49" s="309"/>
      <c r="N49" s="315"/>
      <c r="O49" s="314"/>
    </row>
    <row r="50" spans="1:15">
      <c r="A50" s="95"/>
      <c r="B50" s="307"/>
      <c r="C50" s="308"/>
      <c r="D50" s="309"/>
      <c r="E50" s="113" t="str">
        <f>IFERROR(INDEX(Listen!$B$1:$B$38,MATCH(B50,Listen!$A$1:$A$38,0),1),"")</f>
        <v/>
      </c>
      <c r="F50" s="311"/>
      <c r="G50" s="313"/>
      <c r="H50" s="314"/>
      <c r="I50" s="309"/>
      <c r="J50" s="315"/>
      <c r="K50" s="313"/>
      <c r="L50" s="309"/>
      <c r="M50" s="309"/>
      <c r="N50" s="315"/>
      <c r="O50" s="314"/>
    </row>
    <row r="51" spans="1:15">
      <c r="A51" s="95"/>
      <c r="B51" s="307"/>
      <c r="C51" s="308"/>
      <c r="D51" s="309"/>
      <c r="E51" s="113" t="str">
        <f>IFERROR(INDEX(Listen!$B$1:$B$38,MATCH(B51,Listen!$A$1:$A$38,0),1),"")</f>
        <v/>
      </c>
      <c r="F51" s="311"/>
      <c r="G51" s="313"/>
      <c r="H51" s="314"/>
      <c r="I51" s="309"/>
      <c r="J51" s="315"/>
      <c r="K51" s="313"/>
      <c r="L51" s="309"/>
      <c r="M51" s="309"/>
      <c r="N51" s="315"/>
      <c r="O51" s="314"/>
    </row>
    <row r="52" spans="1:15">
      <c r="A52" s="95"/>
      <c r="B52" s="307"/>
      <c r="C52" s="308"/>
      <c r="D52" s="309"/>
      <c r="E52" s="113" t="str">
        <f>IFERROR(INDEX(Listen!$B$1:$B$38,MATCH(B52,Listen!$A$1:$A$38,0),1),"")</f>
        <v/>
      </c>
      <c r="F52" s="311"/>
      <c r="G52" s="313"/>
      <c r="H52" s="314"/>
      <c r="I52" s="309"/>
      <c r="J52" s="315"/>
      <c r="K52" s="313"/>
      <c r="L52" s="309"/>
      <c r="M52" s="309"/>
      <c r="N52" s="315"/>
      <c r="O52" s="314"/>
    </row>
    <row r="53" spans="1:15">
      <c r="A53" s="95"/>
      <c r="B53" s="307"/>
      <c r="C53" s="308"/>
      <c r="D53" s="309"/>
      <c r="E53" s="113" t="str">
        <f>IFERROR(INDEX(Listen!$B$1:$B$38,MATCH(B53,Listen!$A$1:$A$38,0),1),"")</f>
        <v/>
      </c>
      <c r="F53" s="311"/>
      <c r="G53" s="313"/>
      <c r="H53" s="314"/>
      <c r="I53" s="309"/>
      <c r="J53" s="315"/>
      <c r="K53" s="313"/>
      <c r="L53" s="309"/>
      <c r="M53" s="309"/>
      <c r="N53" s="315"/>
      <c r="O53" s="314"/>
    </row>
    <row r="54" spans="1:15">
      <c r="A54" s="95"/>
      <c r="B54" s="307"/>
      <c r="C54" s="308"/>
      <c r="D54" s="309"/>
      <c r="E54" s="113" t="str">
        <f>IFERROR(INDEX(Listen!$B$1:$B$38,MATCH(B54,Listen!$A$1:$A$38,0),1),"")</f>
        <v/>
      </c>
      <c r="F54" s="311"/>
      <c r="G54" s="313"/>
      <c r="H54" s="314"/>
      <c r="I54" s="309"/>
      <c r="J54" s="315"/>
      <c r="K54" s="313"/>
      <c r="L54" s="309"/>
      <c r="M54" s="309"/>
      <c r="N54" s="315"/>
      <c r="O54" s="314"/>
    </row>
    <row r="55" spans="1:15">
      <c r="A55" s="95"/>
      <c r="B55" s="307"/>
      <c r="C55" s="308"/>
      <c r="D55" s="309"/>
      <c r="E55" s="113" t="str">
        <f>IFERROR(INDEX(Listen!$B$1:$B$38,MATCH(B55,Listen!$A$1:$A$38,0),1),"")</f>
        <v/>
      </c>
      <c r="F55" s="311"/>
      <c r="G55" s="313"/>
      <c r="H55" s="314"/>
      <c r="I55" s="309"/>
      <c r="J55" s="315"/>
      <c r="K55" s="313"/>
      <c r="L55" s="309"/>
      <c r="M55" s="309"/>
      <c r="N55" s="315"/>
      <c r="O55" s="314"/>
    </row>
    <row r="56" spans="1:15">
      <c r="A56" s="95"/>
      <c r="B56" s="307"/>
      <c r="C56" s="308"/>
      <c r="D56" s="309"/>
      <c r="E56" s="113" t="str">
        <f>IFERROR(INDEX(Listen!$B$1:$B$38,MATCH(B56,Listen!$A$1:$A$38,0),1),"")</f>
        <v/>
      </c>
      <c r="F56" s="311"/>
      <c r="G56" s="313"/>
      <c r="H56" s="314"/>
      <c r="I56" s="309"/>
      <c r="J56" s="315"/>
      <c r="K56" s="313"/>
      <c r="L56" s="309"/>
      <c r="M56" s="309"/>
      <c r="N56" s="315"/>
      <c r="O56" s="314"/>
    </row>
    <row r="57" spans="1:15">
      <c r="A57" s="95"/>
      <c r="B57" s="307"/>
      <c r="C57" s="308"/>
      <c r="D57" s="309"/>
      <c r="E57" s="113" t="str">
        <f>IFERROR(INDEX(Listen!$B$1:$B$38,MATCH(B57,Listen!$A$1:$A$38,0),1),"")</f>
        <v/>
      </c>
      <c r="F57" s="311"/>
      <c r="G57" s="313"/>
      <c r="H57" s="314"/>
      <c r="I57" s="309"/>
      <c r="J57" s="315"/>
      <c r="K57" s="313"/>
      <c r="L57" s="309"/>
      <c r="M57" s="309"/>
      <c r="N57" s="315"/>
      <c r="O57" s="314"/>
    </row>
    <row r="58" spans="1:15">
      <c r="A58" s="95"/>
      <c r="B58" s="307"/>
      <c r="C58" s="308"/>
      <c r="D58" s="309"/>
      <c r="E58" s="113" t="str">
        <f>IFERROR(INDEX(Listen!$B$1:$B$38,MATCH(B58,Listen!$A$1:$A$38,0),1),"")</f>
        <v/>
      </c>
      <c r="F58" s="311"/>
      <c r="G58" s="313"/>
      <c r="H58" s="314"/>
      <c r="I58" s="309"/>
      <c r="J58" s="315"/>
      <c r="K58" s="313"/>
      <c r="L58" s="309"/>
      <c r="M58" s="309"/>
      <c r="N58" s="315"/>
      <c r="O58" s="314"/>
    </row>
    <row r="59" spans="1:15">
      <c r="A59" s="95"/>
      <c r="B59" s="307"/>
      <c r="C59" s="308"/>
      <c r="D59" s="309"/>
      <c r="E59" s="113" t="str">
        <f>IFERROR(INDEX(Listen!$B$1:$B$38,MATCH(B59,Listen!$A$1:$A$38,0),1),"")</f>
        <v/>
      </c>
      <c r="F59" s="311"/>
      <c r="G59" s="313"/>
      <c r="H59" s="314"/>
      <c r="I59" s="309"/>
      <c r="J59" s="315"/>
      <c r="K59" s="313"/>
      <c r="L59" s="309"/>
      <c r="M59" s="309"/>
      <c r="N59" s="315"/>
      <c r="O59" s="314"/>
    </row>
    <row r="60" spans="1:15">
      <c r="A60" s="95"/>
      <c r="B60" s="307"/>
      <c r="C60" s="308"/>
      <c r="D60" s="309"/>
      <c r="E60" s="113" t="str">
        <f>IFERROR(INDEX(Listen!$B$1:$B$38,MATCH(B60,Listen!$A$1:$A$38,0),1),"")</f>
        <v/>
      </c>
      <c r="F60" s="311"/>
      <c r="G60" s="313"/>
      <c r="H60" s="314"/>
      <c r="I60" s="309"/>
      <c r="J60" s="315"/>
      <c r="K60" s="313"/>
      <c r="L60" s="309"/>
      <c r="M60" s="309"/>
      <c r="N60" s="315"/>
      <c r="O60" s="314"/>
    </row>
    <row r="61" spans="1:15">
      <c r="A61" s="95"/>
      <c r="B61" s="307"/>
      <c r="C61" s="308"/>
      <c r="D61" s="309"/>
      <c r="E61" s="113" t="str">
        <f>IFERROR(INDEX(Listen!$B$1:$B$38,MATCH(B61,Listen!$A$1:$A$38,0),1),"")</f>
        <v/>
      </c>
      <c r="F61" s="311"/>
      <c r="G61" s="313"/>
      <c r="H61" s="314"/>
      <c r="I61" s="309"/>
      <c r="J61" s="315"/>
      <c r="K61" s="313"/>
      <c r="L61" s="309"/>
      <c r="M61" s="309"/>
      <c r="N61" s="315"/>
      <c r="O61" s="314"/>
    </row>
    <row r="62" spans="1:15">
      <c r="A62" s="95"/>
      <c r="B62" s="307"/>
      <c r="C62" s="308"/>
      <c r="D62" s="309"/>
      <c r="E62" s="113" t="str">
        <f>IFERROR(INDEX(Listen!$B$1:$B$38,MATCH(B62,Listen!$A$1:$A$38,0),1),"")</f>
        <v/>
      </c>
      <c r="F62" s="311"/>
      <c r="G62" s="313"/>
      <c r="H62" s="314"/>
      <c r="I62" s="309"/>
      <c r="J62" s="315"/>
      <c r="K62" s="313"/>
      <c r="L62" s="309"/>
      <c r="M62" s="309"/>
      <c r="N62" s="315"/>
      <c r="O62" s="314"/>
    </row>
    <row r="63" spans="1:15">
      <c r="A63" s="95"/>
      <c r="B63" s="307"/>
      <c r="C63" s="308"/>
      <c r="D63" s="309"/>
      <c r="E63" s="113" t="str">
        <f>IFERROR(INDEX(Listen!$B$1:$B$38,MATCH(B63,Listen!$A$1:$A$38,0),1),"")</f>
        <v/>
      </c>
      <c r="F63" s="311"/>
      <c r="G63" s="313"/>
      <c r="H63" s="314"/>
      <c r="I63" s="309"/>
      <c r="J63" s="315"/>
      <c r="K63" s="313"/>
      <c r="L63" s="309"/>
      <c r="M63" s="309"/>
      <c r="N63" s="315"/>
      <c r="O63" s="314"/>
    </row>
    <row r="64" spans="1:15">
      <c r="A64" s="95"/>
      <c r="B64" s="307"/>
      <c r="C64" s="308"/>
      <c r="D64" s="309"/>
      <c r="E64" s="113" t="str">
        <f>IFERROR(INDEX(Listen!$B$1:$B$38,MATCH(B64,Listen!$A$1:$A$38,0),1),"")</f>
        <v/>
      </c>
      <c r="F64" s="311"/>
      <c r="G64" s="313"/>
      <c r="H64" s="314"/>
      <c r="I64" s="309"/>
      <c r="J64" s="315"/>
      <c r="K64" s="313"/>
      <c r="L64" s="309"/>
      <c r="M64" s="309"/>
      <c r="N64" s="315"/>
      <c r="O64" s="314"/>
    </row>
    <row r="65" spans="1:15">
      <c r="A65" s="95"/>
      <c r="B65" s="307"/>
      <c r="C65" s="308"/>
      <c r="D65" s="309"/>
      <c r="E65" s="113" t="str">
        <f>IFERROR(INDEX(Listen!$B$1:$B$38,MATCH(B65,Listen!$A$1:$A$38,0),1),"")</f>
        <v/>
      </c>
      <c r="F65" s="311"/>
      <c r="G65" s="313"/>
      <c r="H65" s="314"/>
      <c r="I65" s="309"/>
      <c r="J65" s="315"/>
      <c r="K65" s="313"/>
      <c r="L65" s="309"/>
      <c r="M65" s="309"/>
      <c r="N65" s="315"/>
      <c r="O65" s="314"/>
    </row>
    <row r="66" spans="1:15">
      <c r="A66" s="95"/>
      <c r="B66" s="307"/>
      <c r="C66" s="308"/>
      <c r="D66" s="309"/>
      <c r="E66" s="113" t="str">
        <f>IFERROR(INDEX(Listen!$B$1:$B$38,MATCH(B66,Listen!$A$1:$A$38,0),1),"")</f>
        <v/>
      </c>
      <c r="F66" s="311"/>
      <c r="G66" s="313"/>
      <c r="H66" s="314"/>
      <c r="I66" s="309"/>
      <c r="J66" s="315"/>
      <c r="K66" s="313"/>
      <c r="L66" s="309"/>
      <c r="M66" s="309"/>
      <c r="N66" s="315"/>
      <c r="O66" s="314"/>
    </row>
    <row r="67" spans="1:15">
      <c r="A67" s="95"/>
      <c r="B67" s="307"/>
      <c r="C67" s="308"/>
      <c r="D67" s="309"/>
      <c r="E67" s="113" t="str">
        <f>IFERROR(INDEX(Listen!$B$1:$B$38,MATCH(B67,Listen!$A$1:$A$38,0),1),"")</f>
        <v/>
      </c>
      <c r="F67" s="311"/>
      <c r="G67" s="313"/>
      <c r="H67" s="314"/>
      <c r="I67" s="309"/>
      <c r="J67" s="315"/>
      <c r="K67" s="313"/>
      <c r="L67" s="309"/>
      <c r="M67" s="309"/>
      <c r="N67" s="315"/>
      <c r="O67" s="314"/>
    </row>
    <row r="68" spans="1:15">
      <c r="A68" s="95"/>
      <c r="B68" s="307"/>
      <c r="C68" s="308"/>
      <c r="D68" s="309"/>
      <c r="E68" s="113" t="str">
        <f>IFERROR(INDEX(Listen!$B$1:$B$38,MATCH(B68,Listen!$A$1:$A$38,0),1),"")</f>
        <v/>
      </c>
      <c r="F68" s="311"/>
      <c r="G68" s="313"/>
      <c r="H68" s="314"/>
      <c r="I68" s="309"/>
      <c r="J68" s="315"/>
      <c r="K68" s="313"/>
      <c r="L68" s="309"/>
      <c r="M68" s="309"/>
      <c r="N68" s="315"/>
      <c r="O68" s="314"/>
    </row>
    <row r="69" spans="1:15">
      <c r="A69" s="95"/>
      <c r="B69" s="307"/>
      <c r="C69" s="308"/>
      <c r="D69" s="309"/>
      <c r="E69" s="113" t="str">
        <f>IFERROR(INDEX(Listen!$B$1:$B$38,MATCH(B69,Listen!$A$1:$A$38,0),1),"")</f>
        <v/>
      </c>
      <c r="F69" s="311"/>
      <c r="G69" s="313"/>
      <c r="H69" s="314"/>
      <c r="I69" s="309"/>
      <c r="J69" s="315"/>
      <c r="K69" s="313"/>
      <c r="L69" s="309"/>
      <c r="M69" s="309"/>
      <c r="N69" s="315"/>
      <c r="O69" s="314"/>
    </row>
    <row r="70" spans="1:15">
      <c r="A70" s="95"/>
      <c r="B70" s="307"/>
      <c r="C70" s="308"/>
      <c r="D70" s="309"/>
      <c r="E70" s="113" t="str">
        <f>IFERROR(INDEX(Listen!$B$1:$B$38,MATCH(B70,Listen!$A$1:$A$38,0),1),"")</f>
        <v/>
      </c>
      <c r="F70" s="311"/>
      <c r="G70" s="313"/>
      <c r="H70" s="314"/>
      <c r="I70" s="309"/>
      <c r="J70" s="315"/>
      <c r="K70" s="313"/>
      <c r="L70" s="309"/>
      <c r="M70" s="309"/>
      <c r="N70" s="315"/>
      <c r="O70" s="314"/>
    </row>
    <row r="71" spans="1:15">
      <c r="A71" s="95"/>
      <c r="B71" s="307"/>
      <c r="C71" s="308"/>
      <c r="D71" s="309"/>
      <c r="E71" s="113" t="str">
        <f>IFERROR(INDEX(Listen!$B$1:$B$38,MATCH(B71,Listen!$A$1:$A$38,0),1),"")</f>
        <v/>
      </c>
      <c r="F71" s="311"/>
      <c r="G71" s="313"/>
      <c r="H71" s="314"/>
      <c r="I71" s="309"/>
      <c r="J71" s="315"/>
      <c r="K71" s="313"/>
      <c r="L71" s="309"/>
      <c r="M71" s="309"/>
      <c r="N71" s="315"/>
      <c r="O71" s="314"/>
    </row>
    <row r="72" spans="1:15">
      <c r="A72" s="95"/>
      <c r="B72" s="307"/>
      <c r="C72" s="308"/>
      <c r="D72" s="309"/>
      <c r="E72" s="113" t="str">
        <f>IFERROR(INDEX(Listen!$B$1:$B$38,MATCH(B72,Listen!$A$1:$A$38,0),1),"")</f>
        <v/>
      </c>
      <c r="F72" s="311"/>
      <c r="G72" s="313"/>
      <c r="H72" s="314"/>
      <c r="I72" s="309"/>
      <c r="J72" s="315"/>
      <c r="K72" s="313"/>
      <c r="L72" s="309"/>
      <c r="M72" s="309"/>
      <c r="N72" s="315"/>
      <c r="O72" s="314"/>
    </row>
    <row r="73" spans="1:15">
      <c r="A73" s="95"/>
      <c r="B73" s="307"/>
      <c r="C73" s="308"/>
      <c r="D73" s="309"/>
      <c r="E73" s="113" t="str">
        <f>IFERROR(INDEX(Listen!$B$1:$B$38,MATCH(B73,Listen!$A$1:$A$38,0),1),"")</f>
        <v/>
      </c>
      <c r="F73" s="311"/>
      <c r="G73" s="313"/>
      <c r="H73" s="314"/>
      <c r="I73" s="309"/>
      <c r="J73" s="315"/>
      <c r="K73" s="313"/>
      <c r="L73" s="309"/>
      <c r="M73" s="309"/>
      <c r="N73" s="315"/>
      <c r="O73" s="314"/>
    </row>
    <row r="74" spans="1:15">
      <c r="A74" s="95"/>
      <c r="B74" s="307"/>
      <c r="C74" s="308"/>
      <c r="D74" s="309"/>
      <c r="E74" s="113" t="str">
        <f>IFERROR(INDEX(Listen!$B$1:$B$38,MATCH(B74,Listen!$A$1:$A$38,0),1),"")</f>
        <v/>
      </c>
      <c r="F74" s="311"/>
      <c r="G74" s="313"/>
      <c r="H74" s="314"/>
      <c r="I74" s="309"/>
      <c r="J74" s="315"/>
      <c r="K74" s="313"/>
      <c r="L74" s="309"/>
      <c r="M74" s="309"/>
      <c r="N74" s="315"/>
      <c r="O74" s="314"/>
    </row>
    <row r="75" spans="1:15">
      <c r="A75" s="95"/>
      <c r="B75" s="307"/>
      <c r="C75" s="308"/>
      <c r="D75" s="309"/>
      <c r="E75" s="113" t="str">
        <f>IFERROR(INDEX(Listen!$B$1:$B$38,MATCH(B75,Listen!$A$1:$A$38,0),1),"")</f>
        <v/>
      </c>
      <c r="F75" s="311"/>
      <c r="G75" s="313"/>
      <c r="H75" s="314"/>
      <c r="I75" s="309"/>
      <c r="J75" s="315"/>
      <c r="K75" s="313"/>
      <c r="L75" s="309"/>
      <c r="M75" s="309"/>
      <c r="N75" s="315"/>
      <c r="O75" s="314"/>
    </row>
    <row r="76" spans="1:15">
      <c r="A76" s="95"/>
      <c r="B76" s="307"/>
      <c r="C76" s="308"/>
      <c r="D76" s="309"/>
      <c r="E76" s="113" t="str">
        <f>IFERROR(INDEX(Listen!$B$1:$B$38,MATCH(B76,Listen!$A$1:$A$38,0),1),"")</f>
        <v/>
      </c>
      <c r="F76" s="311"/>
      <c r="G76" s="313"/>
      <c r="H76" s="314"/>
      <c r="I76" s="309"/>
      <c r="J76" s="315"/>
      <c r="K76" s="313"/>
      <c r="L76" s="309"/>
      <c r="M76" s="309"/>
      <c r="N76" s="315"/>
      <c r="O76" s="314"/>
    </row>
    <row r="77" spans="1:15">
      <c r="A77" s="95"/>
      <c r="B77" s="307"/>
      <c r="C77" s="308"/>
      <c r="D77" s="309"/>
      <c r="E77" s="113" t="str">
        <f>IFERROR(INDEX(Listen!$B$1:$B$38,MATCH(B77,Listen!$A$1:$A$38,0),1),"")</f>
        <v/>
      </c>
      <c r="F77" s="311"/>
      <c r="G77" s="313"/>
      <c r="H77" s="314"/>
      <c r="I77" s="309"/>
      <c r="J77" s="315"/>
      <c r="K77" s="313"/>
      <c r="L77" s="309"/>
      <c r="M77" s="309"/>
      <c r="N77" s="315"/>
      <c r="O77" s="314"/>
    </row>
    <row r="78" spans="1:15">
      <c r="A78" s="95"/>
      <c r="B78" s="307"/>
      <c r="C78" s="308"/>
      <c r="D78" s="309"/>
      <c r="E78" s="113" t="str">
        <f>IFERROR(INDEX(Listen!$B$1:$B$38,MATCH(B78,Listen!$A$1:$A$38,0),1),"")</f>
        <v/>
      </c>
      <c r="F78" s="311"/>
      <c r="G78" s="313"/>
      <c r="H78" s="314"/>
      <c r="I78" s="309"/>
      <c r="J78" s="315"/>
      <c r="K78" s="313"/>
      <c r="L78" s="309"/>
      <c r="M78" s="309"/>
      <c r="N78" s="315"/>
      <c r="O78" s="314"/>
    </row>
    <row r="79" spans="1:15">
      <c r="A79" s="95"/>
      <c r="B79" s="307"/>
      <c r="C79" s="308"/>
      <c r="D79" s="309"/>
      <c r="E79" s="113" t="str">
        <f>IFERROR(INDEX(Listen!$B$1:$B$38,MATCH(B79,Listen!$A$1:$A$38,0),1),"")</f>
        <v/>
      </c>
      <c r="F79" s="311"/>
      <c r="G79" s="313"/>
      <c r="H79" s="314"/>
      <c r="I79" s="309"/>
      <c r="J79" s="315"/>
      <c r="K79" s="313"/>
      <c r="L79" s="309"/>
      <c r="M79" s="309"/>
      <c r="N79" s="315"/>
      <c r="O79" s="314"/>
    </row>
    <row r="80" spans="1:15">
      <c r="A80" s="95"/>
      <c r="B80" s="307"/>
      <c r="C80" s="308"/>
      <c r="D80" s="309"/>
      <c r="E80" s="113" t="str">
        <f>IFERROR(INDEX(Listen!$B$1:$B$38,MATCH(B80,Listen!$A$1:$A$38,0),1),"")</f>
        <v/>
      </c>
      <c r="F80" s="311"/>
      <c r="G80" s="313"/>
      <c r="H80" s="314"/>
      <c r="I80" s="309"/>
      <c r="J80" s="315"/>
      <c r="K80" s="313"/>
      <c r="L80" s="309"/>
      <c r="M80" s="309"/>
      <c r="N80" s="315"/>
      <c r="O80" s="314"/>
    </row>
    <row r="81" spans="1:15">
      <c r="A81" s="95"/>
      <c r="B81" s="307"/>
      <c r="C81" s="308"/>
      <c r="D81" s="309"/>
      <c r="E81" s="113" t="str">
        <f>IFERROR(INDEX(Listen!$B$1:$B$38,MATCH(B81,Listen!$A$1:$A$38,0),1),"")</f>
        <v/>
      </c>
      <c r="F81" s="311"/>
      <c r="G81" s="313"/>
      <c r="H81" s="314"/>
      <c r="I81" s="309"/>
      <c r="J81" s="315"/>
      <c r="K81" s="313"/>
      <c r="L81" s="309"/>
      <c r="M81" s="309"/>
      <c r="N81" s="315"/>
      <c r="O81" s="314"/>
    </row>
    <row r="82" spans="1:15">
      <c r="A82" s="95"/>
      <c r="B82" s="307"/>
      <c r="C82" s="308"/>
      <c r="D82" s="309"/>
      <c r="E82" s="113" t="str">
        <f>IFERROR(INDEX(Listen!$B$1:$B$38,MATCH(B82,Listen!$A$1:$A$38,0),1),"")</f>
        <v/>
      </c>
      <c r="F82" s="311"/>
      <c r="G82" s="313"/>
      <c r="H82" s="314"/>
      <c r="I82" s="309"/>
      <c r="J82" s="315"/>
      <c r="K82" s="313"/>
      <c r="L82" s="309"/>
      <c r="M82" s="309"/>
      <c r="N82" s="315"/>
      <c r="O82" s="314"/>
    </row>
    <row r="83" spans="1:15">
      <c r="A83" s="95"/>
      <c r="B83" s="307"/>
      <c r="C83" s="308"/>
      <c r="D83" s="309"/>
      <c r="E83" s="113" t="str">
        <f>IFERROR(INDEX(Listen!$B$1:$B$38,MATCH(B83,Listen!$A$1:$A$38,0),1),"")</f>
        <v/>
      </c>
      <c r="F83" s="311"/>
      <c r="G83" s="313"/>
      <c r="H83" s="314"/>
      <c r="I83" s="309"/>
      <c r="J83" s="315"/>
      <c r="K83" s="313"/>
      <c r="L83" s="309"/>
      <c r="M83" s="309"/>
      <c r="N83" s="315"/>
      <c r="O83" s="314"/>
    </row>
    <row r="84" spans="1:15">
      <c r="A84" s="95"/>
      <c r="B84" s="307"/>
      <c r="C84" s="308"/>
      <c r="D84" s="309"/>
      <c r="E84" s="113" t="str">
        <f>IFERROR(INDEX(Listen!$B$1:$B$38,MATCH(B84,Listen!$A$1:$A$38,0),1),"")</f>
        <v/>
      </c>
      <c r="F84" s="311"/>
      <c r="G84" s="313"/>
      <c r="H84" s="314"/>
      <c r="I84" s="309"/>
      <c r="J84" s="315"/>
      <c r="K84" s="313"/>
      <c r="L84" s="309"/>
      <c r="M84" s="309"/>
      <c r="N84" s="315"/>
      <c r="O84" s="314"/>
    </row>
    <row r="85" spans="1:15">
      <c r="A85" s="95"/>
      <c r="B85" s="307"/>
      <c r="C85" s="308"/>
      <c r="D85" s="309"/>
      <c r="E85" s="113" t="str">
        <f>IFERROR(INDEX(Listen!$B$1:$B$38,MATCH(B85,Listen!$A$1:$A$38,0),1),"")</f>
        <v/>
      </c>
      <c r="F85" s="311"/>
      <c r="G85" s="313"/>
      <c r="H85" s="314"/>
      <c r="I85" s="309"/>
      <c r="J85" s="315"/>
      <c r="K85" s="313"/>
      <c r="L85" s="309"/>
      <c r="M85" s="309"/>
      <c r="N85" s="315"/>
      <c r="O85" s="314"/>
    </row>
    <row r="86" spans="1:15">
      <c r="A86" s="95"/>
      <c r="B86" s="307"/>
      <c r="C86" s="308"/>
      <c r="D86" s="309"/>
      <c r="E86" s="113" t="str">
        <f>IFERROR(INDEX(Listen!$B$1:$B$38,MATCH(B86,Listen!$A$1:$A$38,0),1),"")</f>
        <v/>
      </c>
      <c r="F86" s="311"/>
      <c r="G86" s="313"/>
      <c r="H86" s="314"/>
      <c r="I86" s="309"/>
      <c r="J86" s="315"/>
      <c r="K86" s="313"/>
      <c r="L86" s="309"/>
      <c r="M86" s="309"/>
      <c r="N86" s="315"/>
      <c r="O86" s="314"/>
    </row>
    <row r="87" spans="1:15">
      <c r="A87" s="95"/>
      <c r="B87" s="307"/>
      <c r="C87" s="308"/>
      <c r="D87" s="309"/>
      <c r="E87" s="113" t="str">
        <f>IFERROR(INDEX(Listen!$B$1:$B$38,MATCH(B87,Listen!$A$1:$A$38,0),1),"")</f>
        <v/>
      </c>
      <c r="F87" s="311"/>
      <c r="G87" s="313"/>
      <c r="H87" s="314"/>
      <c r="I87" s="309"/>
      <c r="J87" s="315"/>
      <c r="K87" s="313"/>
      <c r="L87" s="309"/>
      <c r="M87" s="309"/>
      <c r="N87" s="315"/>
      <c r="O87" s="314"/>
    </row>
    <row r="88" spans="1:15">
      <c r="A88" s="95"/>
      <c r="B88" s="307"/>
      <c r="C88" s="308"/>
      <c r="D88" s="309"/>
      <c r="E88" s="113" t="str">
        <f>IFERROR(INDEX(Listen!$B$1:$B$38,MATCH(B88,Listen!$A$1:$A$38,0),1),"")</f>
        <v/>
      </c>
      <c r="F88" s="311"/>
      <c r="G88" s="313"/>
      <c r="H88" s="314"/>
      <c r="I88" s="309"/>
      <c r="J88" s="315"/>
      <c r="K88" s="313"/>
      <c r="L88" s="309"/>
      <c r="M88" s="309"/>
      <c r="N88" s="315"/>
      <c r="O88" s="314"/>
    </row>
    <row r="89" spans="1:15">
      <c r="A89" s="95"/>
      <c r="B89" s="307"/>
      <c r="C89" s="308"/>
      <c r="D89" s="309"/>
      <c r="E89" s="113" t="str">
        <f>IFERROR(INDEX(Listen!$B$1:$B$38,MATCH(B89,Listen!$A$1:$A$38,0),1),"")</f>
        <v/>
      </c>
      <c r="F89" s="311"/>
      <c r="G89" s="313"/>
      <c r="H89" s="314"/>
      <c r="I89" s="309"/>
      <c r="J89" s="315"/>
      <c r="K89" s="313"/>
      <c r="L89" s="309"/>
      <c r="M89" s="309"/>
      <c r="N89" s="315"/>
      <c r="O89" s="314"/>
    </row>
    <row r="90" spans="1:15">
      <c r="A90" s="95"/>
      <c r="B90" s="307"/>
      <c r="C90" s="308"/>
      <c r="D90" s="309"/>
      <c r="E90" s="113" t="str">
        <f>IFERROR(INDEX(Listen!$B$1:$B$38,MATCH(B90,Listen!$A$1:$A$38,0),1),"")</f>
        <v/>
      </c>
      <c r="F90" s="311"/>
      <c r="G90" s="313"/>
      <c r="H90" s="314"/>
      <c r="I90" s="309"/>
      <c r="J90" s="315"/>
      <c r="K90" s="313"/>
      <c r="L90" s="309"/>
      <c r="M90" s="309"/>
      <c r="N90" s="315"/>
      <c r="O90" s="314"/>
    </row>
    <row r="91" spans="1:15">
      <c r="A91" s="95"/>
      <c r="B91" s="307"/>
      <c r="C91" s="308"/>
      <c r="D91" s="309"/>
      <c r="E91" s="113" t="str">
        <f>IFERROR(INDEX(Listen!$B$1:$B$38,MATCH(B91,Listen!$A$1:$A$38,0),1),"")</f>
        <v/>
      </c>
      <c r="F91" s="311"/>
      <c r="G91" s="313"/>
      <c r="H91" s="314"/>
      <c r="I91" s="309"/>
      <c r="J91" s="315"/>
      <c r="K91" s="313"/>
      <c r="L91" s="309"/>
      <c r="M91" s="309"/>
      <c r="N91" s="315"/>
      <c r="O91" s="314"/>
    </row>
    <row r="92" spans="1:15">
      <c r="A92" s="95"/>
      <c r="B92" s="307"/>
      <c r="C92" s="308"/>
      <c r="D92" s="309"/>
      <c r="E92" s="113" t="str">
        <f>IFERROR(INDEX(Listen!$B$1:$B$38,MATCH(B92,Listen!$A$1:$A$38,0),1),"")</f>
        <v/>
      </c>
      <c r="F92" s="311"/>
      <c r="G92" s="313"/>
      <c r="H92" s="314"/>
      <c r="I92" s="309"/>
      <c r="J92" s="315"/>
      <c r="K92" s="313"/>
      <c r="L92" s="309"/>
      <c r="M92" s="309"/>
      <c r="N92" s="315"/>
      <c r="O92" s="314"/>
    </row>
    <row r="93" spans="1:15">
      <c r="A93" s="95"/>
      <c r="B93" s="307"/>
      <c r="C93" s="308"/>
      <c r="D93" s="309"/>
      <c r="E93" s="113" t="str">
        <f>IFERROR(INDEX(Listen!$B$1:$B$38,MATCH(B93,Listen!$A$1:$A$38,0),1),"")</f>
        <v/>
      </c>
      <c r="F93" s="311"/>
      <c r="G93" s="313"/>
      <c r="H93" s="314"/>
      <c r="I93" s="309"/>
      <c r="J93" s="315"/>
      <c r="K93" s="313"/>
      <c r="L93" s="309"/>
      <c r="M93" s="309"/>
      <c r="N93" s="315"/>
      <c r="O93" s="314"/>
    </row>
    <row r="94" spans="1:15">
      <c r="A94" s="95"/>
      <c r="B94" s="307"/>
      <c r="C94" s="308"/>
      <c r="D94" s="309"/>
      <c r="E94" s="113" t="str">
        <f>IFERROR(INDEX(Listen!$B$1:$B$38,MATCH(B94,Listen!$A$1:$A$38,0),1),"")</f>
        <v/>
      </c>
      <c r="F94" s="311"/>
      <c r="G94" s="313"/>
      <c r="H94" s="314"/>
      <c r="I94" s="309"/>
      <c r="J94" s="315"/>
      <c r="K94" s="313"/>
      <c r="L94" s="309"/>
      <c r="M94" s="309"/>
      <c r="N94" s="315"/>
      <c r="O94" s="314"/>
    </row>
    <row r="95" spans="1:15">
      <c r="A95" s="95"/>
      <c r="B95" s="307"/>
      <c r="C95" s="308"/>
      <c r="D95" s="309"/>
      <c r="E95" s="113" t="str">
        <f>IFERROR(INDEX(Listen!$B$1:$B$38,MATCH(B95,Listen!$A$1:$A$38,0),1),"")</f>
        <v/>
      </c>
      <c r="F95" s="311"/>
      <c r="G95" s="313"/>
      <c r="H95" s="314"/>
      <c r="I95" s="309"/>
      <c r="J95" s="315"/>
      <c r="K95" s="313"/>
      <c r="L95" s="309"/>
      <c r="M95" s="309"/>
      <c r="N95" s="315"/>
      <c r="O95" s="314"/>
    </row>
    <row r="96" spans="1:15">
      <c r="A96" s="95"/>
      <c r="B96" s="307"/>
      <c r="C96" s="308"/>
      <c r="D96" s="309"/>
      <c r="E96" s="113" t="str">
        <f>IFERROR(INDEX(Listen!$B$1:$B$38,MATCH(B96,Listen!$A$1:$A$38,0),1),"")</f>
        <v/>
      </c>
      <c r="F96" s="311"/>
      <c r="G96" s="313"/>
      <c r="H96" s="314"/>
      <c r="I96" s="309"/>
      <c r="J96" s="315"/>
      <c r="K96" s="313"/>
      <c r="L96" s="309"/>
      <c r="M96" s="309"/>
      <c r="N96" s="315"/>
      <c r="O96" s="314"/>
    </row>
    <row r="97" spans="1:15">
      <c r="A97" s="95"/>
      <c r="B97" s="307"/>
      <c r="C97" s="308"/>
      <c r="D97" s="309"/>
      <c r="E97" s="113" t="str">
        <f>IFERROR(INDEX(Listen!$B$1:$B$38,MATCH(B97,Listen!$A$1:$A$38,0),1),"")</f>
        <v/>
      </c>
      <c r="F97" s="311"/>
      <c r="G97" s="313"/>
      <c r="H97" s="314"/>
      <c r="I97" s="309"/>
      <c r="J97" s="315"/>
      <c r="K97" s="313"/>
      <c r="L97" s="309"/>
      <c r="M97" s="309"/>
      <c r="N97" s="315"/>
      <c r="O97" s="314"/>
    </row>
    <row r="98" spans="1:15">
      <c r="A98" s="95"/>
      <c r="B98" s="307"/>
      <c r="C98" s="308"/>
      <c r="D98" s="309"/>
      <c r="E98" s="113" t="str">
        <f>IFERROR(INDEX(Listen!$B$1:$B$38,MATCH(B98,Listen!$A$1:$A$38,0),1),"")</f>
        <v/>
      </c>
      <c r="F98" s="311"/>
      <c r="G98" s="313"/>
      <c r="H98" s="314"/>
      <c r="I98" s="309"/>
      <c r="J98" s="315"/>
      <c r="K98" s="313"/>
      <c r="L98" s="309"/>
      <c r="M98" s="309"/>
      <c r="N98" s="315"/>
      <c r="O98" s="314"/>
    </row>
    <row r="99" spans="1:15">
      <c r="A99" s="95"/>
      <c r="B99" s="307"/>
      <c r="C99" s="308"/>
      <c r="D99" s="309"/>
      <c r="E99" s="113" t="str">
        <f>IFERROR(INDEX(Listen!$B$1:$B$38,MATCH(B99,Listen!$A$1:$A$38,0),1),"")</f>
        <v/>
      </c>
      <c r="F99" s="311"/>
      <c r="G99" s="313"/>
      <c r="H99" s="314"/>
      <c r="I99" s="309"/>
      <c r="J99" s="315"/>
      <c r="K99" s="313"/>
      <c r="L99" s="309"/>
      <c r="M99" s="309"/>
      <c r="N99" s="315"/>
      <c r="O99" s="314"/>
    </row>
    <row r="100" spans="1:15">
      <c r="A100" s="95"/>
      <c r="B100" s="307"/>
      <c r="C100" s="308"/>
      <c r="D100" s="309"/>
      <c r="E100" s="113" t="str">
        <f>IFERROR(INDEX(Listen!$B$1:$B$38,MATCH(B100,Listen!$A$1:$A$38,0),1),"")</f>
        <v/>
      </c>
      <c r="F100" s="311"/>
      <c r="G100" s="313"/>
      <c r="H100" s="314"/>
      <c r="I100" s="309"/>
      <c r="J100" s="315"/>
      <c r="K100" s="313"/>
      <c r="L100" s="309"/>
      <c r="M100" s="309"/>
      <c r="N100" s="315"/>
      <c r="O100" s="314"/>
    </row>
    <row r="101" spans="1:15">
      <c r="A101" s="95"/>
      <c r="B101" s="307"/>
      <c r="C101" s="308"/>
      <c r="D101" s="309"/>
      <c r="E101" s="113" t="str">
        <f>IFERROR(INDEX(Listen!$B$1:$B$38,MATCH(B101,Listen!$A$1:$A$38,0),1),"")</f>
        <v/>
      </c>
      <c r="F101" s="311"/>
      <c r="G101" s="313"/>
      <c r="H101" s="314"/>
      <c r="I101" s="309"/>
      <c r="J101" s="315"/>
      <c r="K101" s="313"/>
      <c r="L101" s="309"/>
      <c r="M101" s="309"/>
      <c r="N101" s="315"/>
      <c r="O101" s="314"/>
    </row>
    <row r="102" spans="1:15">
      <c r="A102" s="95"/>
      <c r="B102" s="307"/>
      <c r="C102" s="308"/>
      <c r="D102" s="309"/>
      <c r="E102" s="113" t="str">
        <f>IFERROR(INDEX(Listen!$B$1:$B$38,MATCH(B102,Listen!$A$1:$A$38,0),1),"")</f>
        <v/>
      </c>
      <c r="F102" s="311"/>
      <c r="G102" s="313"/>
      <c r="H102" s="314"/>
      <c r="I102" s="309"/>
      <c r="J102" s="315"/>
      <c r="K102" s="313"/>
      <c r="L102" s="309"/>
      <c r="M102" s="309"/>
      <c r="N102" s="315"/>
      <c r="O102" s="314"/>
    </row>
    <row r="103" spans="1:15">
      <c r="A103" s="95"/>
      <c r="B103" s="307"/>
      <c r="C103" s="308"/>
      <c r="D103" s="309"/>
      <c r="E103" s="113" t="str">
        <f>IFERROR(INDEX(Listen!$B$1:$B$38,MATCH(B103,Listen!$A$1:$A$38,0),1),"")</f>
        <v/>
      </c>
      <c r="F103" s="311"/>
      <c r="G103" s="313"/>
      <c r="H103" s="314"/>
      <c r="I103" s="309"/>
      <c r="J103" s="315"/>
      <c r="K103" s="313"/>
      <c r="L103" s="309"/>
      <c r="M103" s="309"/>
      <c r="N103" s="315"/>
      <c r="O103" s="314"/>
    </row>
    <row r="104" spans="1:15">
      <c r="A104" s="95"/>
      <c r="B104" s="307"/>
      <c r="C104" s="308"/>
      <c r="D104" s="309"/>
      <c r="E104" s="113" t="str">
        <f>IFERROR(INDEX(Listen!$B$1:$B$38,MATCH(B104,Listen!$A$1:$A$38,0),1),"")</f>
        <v/>
      </c>
      <c r="F104" s="311"/>
      <c r="G104" s="313"/>
      <c r="H104" s="314"/>
      <c r="I104" s="309"/>
      <c r="J104" s="315"/>
      <c r="K104" s="313"/>
      <c r="L104" s="309"/>
      <c r="M104" s="309"/>
      <c r="N104" s="315"/>
      <c r="O104" s="314"/>
    </row>
    <row r="105" spans="1:15">
      <c r="A105" s="95"/>
      <c r="B105" s="307"/>
      <c r="C105" s="308"/>
      <c r="D105" s="309"/>
      <c r="E105" s="113" t="str">
        <f>IFERROR(INDEX(Listen!$B$1:$B$38,MATCH(B105,Listen!$A$1:$A$38,0),1),"")</f>
        <v/>
      </c>
      <c r="F105" s="311"/>
      <c r="G105" s="313"/>
      <c r="H105" s="314"/>
      <c r="I105" s="309"/>
      <c r="J105" s="315"/>
      <c r="K105" s="313"/>
      <c r="L105" s="309"/>
      <c r="M105" s="309"/>
      <c r="N105" s="315"/>
      <c r="O105" s="314"/>
    </row>
    <row r="106" spans="1:15">
      <c r="A106" s="95"/>
      <c r="B106" s="307"/>
      <c r="C106" s="308"/>
      <c r="D106" s="309"/>
      <c r="E106" s="113" t="str">
        <f>IFERROR(INDEX(Listen!$B$1:$B$38,MATCH(B106,Listen!$A$1:$A$38,0),1),"")</f>
        <v/>
      </c>
      <c r="F106" s="311"/>
      <c r="G106" s="313"/>
      <c r="H106" s="314"/>
      <c r="I106" s="309"/>
      <c r="J106" s="315"/>
      <c r="K106" s="313"/>
      <c r="L106" s="309"/>
      <c r="M106" s="309"/>
      <c r="N106" s="315"/>
      <c r="O106" s="314"/>
    </row>
    <row r="107" spans="1:15">
      <c r="A107" s="95"/>
      <c r="B107" s="307"/>
      <c r="C107" s="308"/>
      <c r="D107" s="309"/>
      <c r="E107" s="113" t="str">
        <f>IFERROR(INDEX(Listen!$B$1:$B$38,MATCH(B107,Listen!$A$1:$A$38,0),1),"")</f>
        <v/>
      </c>
      <c r="F107" s="311"/>
      <c r="G107" s="313"/>
      <c r="H107" s="314"/>
      <c r="I107" s="309"/>
      <c r="J107" s="315"/>
      <c r="K107" s="313"/>
      <c r="L107" s="309"/>
      <c r="M107" s="309"/>
      <c r="N107" s="315"/>
      <c r="O107" s="314"/>
    </row>
    <row r="108" spans="1:15">
      <c r="A108" s="95"/>
      <c r="B108" s="307"/>
      <c r="C108" s="308"/>
      <c r="D108" s="309"/>
      <c r="E108" s="113" t="str">
        <f>IFERROR(INDEX(Listen!$B$1:$B$38,MATCH(B108,Listen!$A$1:$A$38,0),1),"")</f>
        <v/>
      </c>
      <c r="F108" s="311"/>
      <c r="G108" s="313"/>
      <c r="H108" s="314"/>
      <c r="I108" s="309"/>
      <c r="J108" s="315"/>
      <c r="K108" s="313"/>
      <c r="L108" s="309"/>
      <c r="M108" s="309"/>
      <c r="N108" s="315"/>
      <c r="O108" s="314"/>
    </row>
    <row r="109" spans="1:15">
      <c r="A109" s="95"/>
      <c r="B109" s="307"/>
      <c r="C109" s="308"/>
      <c r="D109" s="309"/>
      <c r="E109" s="113" t="str">
        <f>IFERROR(INDEX(Listen!$B$1:$B$38,MATCH(B109,Listen!$A$1:$A$38,0),1),"")</f>
        <v/>
      </c>
      <c r="F109" s="311"/>
      <c r="G109" s="313"/>
      <c r="H109" s="314"/>
      <c r="I109" s="309"/>
      <c r="J109" s="315"/>
      <c r="K109" s="313"/>
      <c r="L109" s="309"/>
      <c r="M109" s="309"/>
      <c r="N109" s="315"/>
      <c r="O109" s="314"/>
    </row>
    <row r="110" spans="1:15">
      <c r="A110" s="95"/>
      <c r="B110" s="307"/>
      <c r="C110" s="308"/>
      <c r="D110" s="309"/>
      <c r="E110" s="113" t="str">
        <f>IFERROR(INDEX(Listen!$B$1:$B$38,MATCH(B110,Listen!$A$1:$A$38,0),1),"")</f>
        <v/>
      </c>
      <c r="F110" s="311"/>
      <c r="G110" s="313"/>
      <c r="H110" s="314"/>
      <c r="I110" s="309"/>
      <c r="J110" s="315"/>
      <c r="K110" s="313"/>
      <c r="L110" s="309"/>
      <c r="M110" s="309"/>
      <c r="N110" s="315"/>
      <c r="O110" s="314"/>
    </row>
    <row r="111" spans="1:15">
      <c r="A111" s="95"/>
      <c r="B111" s="307"/>
      <c r="C111" s="308"/>
      <c r="D111" s="309"/>
      <c r="E111" s="113" t="str">
        <f>IFERROR(INDEX(Listen!$B$1:$B$38,MATCH(B111,Listen!$A$1:$A$38,0),1),"")</f>
        <v/>
      </c>
      <c r="F111" s="311"/>
      <c r="G111" s="313"/>
      <c r="H111" s="314"/>
      <c r="I111" s="309"/>
      <c r="J111" s="315"/>
      <c r="K111" s="313"/>
      <c r="L111" s="309"/>
      <c r="M111" s="309"/>
      <c r="N111" s="315"/>
      <c r="O111" s="314"/>
    </row>
    <row r="112" spans="1:15">
      <c r="A112" s="95"/>
      <c r="B112" s="307"/>
      <c r="C112" s="308"/>
      <c r="D112" s="309"/>
      <c r="E112" s="113" t="str">
        <f>IFERROR(INDEX(Listen!$B$1:$B$38,MATCH(B112,Listen!$A$1:$A$38,0),1),"")</f>
        <v/>
      </c>
      <c r="F112" s="311"/>
      <c r="G112" s="313"/>
      <c r="H112" s="314"/>
      <c r="I112" s="309"/>
      <c r="J112" s="315"/>
      <c r="K112" s="313"/>
      <c r="L112" s="309"/>
      <c r="M112" s="309"/>
      <c r="N112" s="315"/>
      <c r="O112" s="314"/>
    </row>
    <row r="113" spans="1:15">
      <c r="A113" s="95"/>
      <c r="B113" s="307"/>
      <c r="C113" s="308"/>
      <c r="D113" s="309"/>
      <c r="E113" s="113" t="str">
        <f>IFERROR(INDEX(Listen!$B$1:$B$38,MATCH(B113,Listen!$A$1:$A$38,0),1),"")</f>
        <v/>
      </c>
      <c r="F113" s="311"/>
      <c r="G113" s="313"/>
      <c r="H113" s="314"/>
      <c r="I113" s="309"/>
      <c r="J113" s="315"/>
      <c r="K113" s="313"/>
      <c r="L113" s="309"/>
      <c r="M113" s="309"/>
      <c r="N113" s="315"/>
      <c r="O113" s="314"/>
    </row>
    <row r="114" spans="1:15">
      <c r="A114" s="95"/>
      <c r="B114" s="307"/>
      <c r="C114" s="308"/>
      <c r="D114" s="309"/>
      <c r="E114" s="113" t="str">
        <f>IFERROR(INDEX(Listen!$B$1:$B$38,MATCH(B114,Listen!$A$1:$A$38,0),1),"")</f>
        <v/>
      </c>
      <c r="F114" s="311"/>
      <c r="G114" s="313"/>
      <c r="H114" s="314"/>
      <c r="I114" s="309"/>
      <c r="J114" s="315"/>
      <c r="K114" s="313"/>
      <c r="L114" s="309"/>
      <c r="M114" s="309"/>
      <c r="N114" s="315"/>
      <c r="O114" s="314"/>
    </row>
    <row r="115" spans="1:15">
      <c r="A115" s="95"/>
      <c r="B115" s="307"/>
      <c r="C115" s="308"/>
      <c r="D115" s="309"/>
      <c r="E115" s="113" t="str">
        <f>IFERROR(INDEX(Listen!$B$1:$B$38,MATCH(B115,Listen!$A$1:$A$38,0),1),"")</f>
        <v/>
      </c>
      <c r="F115" s="311"/>
      <c r="G115" s="313"/>
      <c r="H115" s="314"/>
      <c r="I115" s="309"/>
      <c r="J115" s="315"/>
      <c r="K115" s="313"/>
      <c r="L115" s="309"/>
      <c r="M115" s="309"/>
      <c r="N115" s="315"/>
      <c r="O115" s="314"/>
    </row>
    <row r="116" spans="1:15">
      <c r="A116" s="95"/>
      <c r="B116" s="307"/>
      <c r="C116" s="308"/>
      <c r="D116" s="309"/>
      <c r="E116" s="113" t="str">
        <f>IFERROR(INDEX(Listen!$B$1:$B$38,MATCH(B116,Listen!$A$1:$A$38,0),1),"")</f>
        <v/>
      </c>
      <c r="F116" s="311"/>
      <c r="G116" s="313"/>
      <c r="H116" s="314"/>
      <c r="I116" s="309"/>
      <c r="J116" s="315"/>
      <c r="K116" s="313"/>
      <c r="L116" s="309"/>
      <c r="M116" s="309"/>
      <c r="N116" s="315"/>
      <c r="O116" s="314"/>
    </row>
    <row r="117" spans="1:15">
      <c r="A117" s="95"/>
      <c r="B117" s="307"/>
      <c r="C117" s="308"/>
      <c r="D117" s="309"/>
      <c r="E117" s="113" t="str">
        <f>IFERROR(INDEX(Listen!$B$1:$B$38,MATCH(B117,Listen!$A$1:$A$38,0),1),"")</f>
        <v/>
      </c>
      <c r="F117" s="311"/>
      <c r="G117" s="313"/>
      <c r="H117" s="314"/>
      <c r="I117" s="309"/>
      <c r="J117" s="315"/>
      <c r="K117" s="313"/>
      <c r="L117" s="309"/>
      <c r="M117" s="309"/>
      <c r="N117" s="315"/>
      <c r="O117" s="314"/>
    </row>
    <row r="118" spans="1:15">
      <c r="A118" s="95"/>
      <c r="B118" s="307"/>
      <c r="C118" s="308"/>
      <c r="D118" s="309"/>
      <c r="E118" s="113" t="str">
        <f>IFERROR(INDEX(Listen!$B$1:$B$38,MATCH(B118,Listen!$A$1:$A$38,0),1),"")</f>
        <v/>
      </c>
      <c r="F118" s="311"/>
      <c r="G118" s="313"/>
      <c r="H118" s="314"/>
      <c r="I118" s="309"/>
      <c r="J118" s="315"/>
      <c r="K118" s="313"/>
      <c r="L118" s="309"/>
      <c r="M118" s="309"/>
      <c r="N118" s="315"/>
      <c r="O118" s="314"/>
    </row>
    <row r="119" spans="1:15">
      <c r="A119" s="95"/>
      <c r="B119" s="307"/>
      <c r="C119" s="308"/>
      <c r="D119" s="309"/>
      <c r="E119" s="113" t="str">
        <f>IFERROR(INDEX(Listen!$B$1:$B$38,MATCH(B119,Listen!$A$1:$A$38,0),1),"")</f>
        <v/>
      </c>
      <c r="F119" s="311"/>
      <c r="G119" s="313"/>
      <c r="H119" s="314"/>
      <c r="I119" s="309"/>
      <c r="J119" s="315"/>
      <c r="K119" s="313"/>
      <c r="L119" s="309"/>
      <c r="M119" s="309"/>
      <c r="N119" s="315"/>
      <c r="O119" s="314"/>
    </row>
    <row r="120" spans="1:15">
      <c r="A120" s="95"/>
      <c r="B120" s="307"/>
      <c r="C120" s="308"/>
      <c r="D120" s="309"/>
      <c r="E120" s="113" t="str">
        <f>IFERROR(INDEX(Listen!$B$1:$B$38,MATCH(B120,Listen!$A$1:$A$38,0),1),"")</f>
        <v/>
      </c>
      <c r="F120" s="311"/>
      <c r="G120" s="313"/>
      <c r="H120" s="314"/>
      <c r="I120" s="309"/>
      <c r="J120" s="315"/>
      <c r="K120" s="313"/>
      <c r="L120" s="309"/>
      <c r="M120" s="309"/>
      <c r="N120" s="315"/>
      <c r="O120" s="314"/>
    </row>
    <row r="121" spans="1:15">
      <c r="A121" s="95"/>
      <c r="B121" s="307"/>
      <c r="C121" s="308"/>
      <c r="D121" s="309"/>
      <c r="E121" s="113" t="str">
        <f>IFERROR(INDEX(Listen!$B$1:$B$38,MATCH(B121,Listen!$A$1:$A$38,0),1),"")</f>
        <v/>
      </c>
      <c r="F121" s="311"/>
      <c r="G121" s="313"/>
      <c r="H121" s="314"/>
      <c r="I121" s="309"/>
      <c r="J121" s="315"/>
      <c r="K121" s="313"/>
      <c r="L121" s="309"/>
      <c r="M121" s="309"/>
      <c r="N121" s="315"/>
      <c r="O121" s="314"/>
    </row>
    <row r="122" spans="1:15">
      <c r="A122" s="95"/>
      <c r="B122" s="307"/>
      <c r="C122" s="308"/>
      <c r="D122" s="309"/>
      <c r="E122" s="113" t="str">
        <f>IFERROR(INDEX(Listen!$B$1:$B$38,MATCH(B122,Listen!$A$1:$A$38,0),1),"")</f>
        <v/>
      </c>
      <c r="F122" s="311"/>
      <c r="G122" s="313"/>
      <c r="H122" s="314"/>
      <c r="I122" s="309"/>
      <c r="J122" s="315"/>
      <c r="K122" s="313"/>
      <c r="L122" s="309"/>
      <c r="M122" s="309"/>
      <c r="N122" s="315"/>
      <c r="O122" s="314"/>
    </row>
    <row r="123" spans="1:15">
      <c r="A123" s="95"/>
      <c r="B123" s="307"/>
      <c r="C123" s="308"/>
      <c r="D123" s="309"/>
      <c r="E123" s="113" t="str">
        <f>IFERROR(INDEX(Listen!$B$1:$B$38,MATCH(B123,Listen!$A$1:$A$38,0),1),"")</f>
        <v/>
      </c>
      <c r="F123" s="311"/>
      <c r="G123" s="313"/>
      <c r="H123" s="314"/>
      <c r="I123" s="309"/>
      <c r="J123" s="315"/>
      <c r="K123" s="313"/>
      <c r="L123" s="309"/>
      <c r="M123" s="309"/>
      <c r="N123" s="315"/>
      <c r="O123" s="314"/>
    </row>
    <row r="124" spans="1:15">
      <c r="A124" s="95"/>
      <c r="B124" s="307"/>
      <c r="C124" s="308"/>
      <c r="D124" s="309"/>
      <c r="E124" s="113" t="str">
        <f>IFERROR(INDEX(Listen!$B$1:$B$38,MATCH(B124,Listen!$A$1:$A$38,0),1),"")</f>
        <v/>
      </c>
      <c r="F124" s="311"/>
      <c r="G124" s="313"/>
      <c r="H124" s="314"/>
      <c r="I124" s="309"/>
      <c r="J124" s="315"/>
      <c r="K124" s="313"/>
      <c r="L124" s="309"/>
      <c r="M124" s="309"/>
      <c r="N124" s="315"/>
      <c r="O124" s="314"/>
    </row>
    <row r="125" spans="1:15">
      <c r="A125" s="95"/>
      <c r="B125" s="307"/>
      <c r="C125" s="308"/>
      <c r="D125" s="309"/>
      <c r="E125" s="113" t="str">
        <f>IFERROR(INDEX(Listen!$B$1:$B$38,MATCH(B125,Listen!$A$1:$A$38,0),1),"")</f>
        <v/>
      </c>
      <c r="F125" s="311"/>
      <c r="G125" s="313"/>
      <c r="H125" s="314"/>
      <c r="I125" s="309"/>
      <c r="J125" s="315"/>
      <c r="K125" s="313"/>
      <c r="L125" s="309"/>
      <c r="M125" s="309"/>
      <c r="N125" s="315"/>
      <c r="O125" s="314"/>
    </row>
    <row r="126" spans="1:15">
      <c r="A126" s="95"/>
      <c r="B126" s="307"/>
      <c r="C126" s="308"/>
      <c r="D126" s="309"/>
      <c r="E126" s="113" t="str">
        <f>IFERROR(INDEX(Listen!$B$1:$B$38,MATCH(B126,Listen!$A$1:$A$38,0),1),"")</f>
        <v/>
      </c>
      <c r="F126" s="311"/>
      <c r="G126" s="313"/>
      <c r="H126" s="314"/>
      <c r="I126" s="309"/>
      <c r="J126" s="315"/>
      <c r="K126" s="313"/>
      <c r="L126" s="309"/>
      <c r="M126" s="309"/>
      <c r="N126" s="315"/>
      <c r="O126" s="314"/>
    </row>
    <row r="127" spans="1:15">
      <c r="A127" s="95"/>
      <c r="B127" s="307"/>
      <c r="C127" s="308"/>
      <c r="D127" s="309"/>
      <c r="E127" s="113" t="str">
        <f>IFERROR(INDEX(Listen!$B$1:$B$38,MATCH(B127,Listen!$A$1:$A$38,0),1),"")</f>
        <v/>
      </c>
      <c r="F127" s="311"/>
      <c r="G127" s="313"/>
      <c r="H127" s="314"/>
      <c r="I127" s="309"/>
      <c r="J127" s="315"/>
      <c r="K127" s="313"/>
      <c r="L127" s="309"/>
      <c r="M127" s="309"/>
      <c r="N127" s="315"/>
      <c r="O127" s="314"/>
    </row>
    <row r="128" spans="1:15">
      <c r="A128" s="95"/>
      <c r="B128" s="307"/>
      <c r="C128" s="308"/>
      <c r="D128" s="309"/>
      <c r="E128" s="113" t="str">
        <f>IFERROR(INDEX(Listen!$B$1:$B$38,MATCH(B128,Listen!$A$1:$A$38,0),1),"")</f>
        <v/>
      </c>
      <c r="F128" s="311"/>
      <c r="G128" s="313"/>
      <c r="H128" s="314"/>
      <c r="I128" s="309"/>
      <c r="J128" s="315"/>
      <c r="K128" s="313"/>
      <c r="L128" s="309"/>
      <c r="M128" s="309"/>
      <c r="N128" s="315"/>
      <c r="O128" s="314"/>
    </row>
    <row r="129" spans="1:15">
      <c r="A129" s="95"/>
      <c r="B129" s="307"/>
      <c r="C129" s="308"/>
      <c r="D129" s="309"/>
      <c r="E129" s="113" t="str">
        <f>IFERROR(INDEX(Listen!$B$1:$B$38,MATCH(B129,Listen!$A$1:$A$38,0),1),"")</f>
        <v/>
      </c>
      <c r="F129" s="311"/>
      <c r="G129" s="313"/>
      <c r="H129" s="314"/>
      <c r="I129" s="309"/>
      <c r="J129" s="315"/>
      <c r="K129" s="313"/>
      <c r="L129" s="309"/>
      <c r="M129" s="309"/>
      <c r="N129" s="315"/>
      <c r="O129" s="314"/>
    </row>
    <row r="130" spans="1:15">
      <c r="A130" s="95"/>
      <c r="B130" s="307"/>
      <c r="C130" s="308"/>
      <c r="D130" s="309"/>
      <c r="E130" s="113" t="str">
        <f>IFERROR(INDEX(Listen!$B$1:$B$38,MATCH(B130,Listen!$A$1:$A$38,0),1),"")</f>
        <v/>
      </c>
      <c r="F130" s="311"/>
      <c r="G130" s="313"/>
      <c r="H130" s="314"/>
      <c r="I130" s="309"/>
      <c r="J130" s="315"/>
      <c r="K130" s="313"/>
      <c r="L130" s="309"/>
      <c r="M130" s="309"/>
      <c r="N130" s="315"/>
      <c r="O130" s="314"/>
    </row>
    <row r="131" spans="1:15">
      <c r="A131" s="95"/>
      <c r="B131" s="307"/>
      <c r="C131" s="308"/>
      <c r="D131" s="309"/>
      <c r="E131" s="113" t="str">
        <f>IFERROR(INDEX(Listen!$B$1:$B$38,MATCH(B131,Listen!$A$1:$A$38,0),1),"")</f>
        <v/>
      </c>
      <c r="F131" s="311"/>
      <c r="G131" s="313"/>
      <c r="H131" s="314"/>
      <c r="I131" s="309"/>
      <c r="J131" s="315"/>
      <c r="K131" s="313"/>
      <c r="L131" s="309"/>
      <c r="M131" s="309"/>
      <c r="N131" s="315"/>
      <c r="O131" s="314"/>
    </row>
    <row r="132" spans="1:15">
      <c r="A132" s="95"/>
      <c r="B132" s="307"/>
      <c r="C132" s="308"/>
      <c r="D132" s="309"/>
      <c r="E132" s="113" t="str">
        <f>IFERROR(INDEX(Listen!$B$1:$B$38,MATCH(B132,Listen!$A$1:$A$38,0),1),"")</f>
        <v/>
      </c>
      <c r="F132" s="311"/>
      <c r="G132" s="313"/>
      <c r="H132" s="314"/>
      <c r="I132" s="309"/>
      <c r="J132" s="315"/>
      <c r="K132" s="313"/>
      <c r="L132" s="309"/>
      <c r="M132" s="309"/>
      <c r="N132" s="315"/>
      <c r="O132" s="314"/>
    </row>
    <row r="133" spans="1:15">
      <c r="A133" s="95"/>
      <c r="B133" s="307"/>
      <c r="C133" s="308"/>
      <c r="D133" s="309"/>
      <c r="E133" s="113" t="str">
        <f>IFERROR(INDEX(Listen!$B$1:$B$38,MATCH(B133,Listen!$A$1:$A$38,0),1),"")</f>
        <v/>
      </c>
      <c r="F133" s="311"/>
      <c r="G133" s="313"/>
      <c r="H133" s="314"/>
      <c r="I133" s="309"/>
      <c r="J133" s="315"/>
      <c r="K133" s="313"/>
      <c r="L133" s="309"/>
      <c r="M133" s="309"/>
      <c r="N133" s="315"/>
      <c r="O133" s="314"/>
    </row>
    <row r="134" spans="1:15">
      <c r="A134" s="95"/>
      <c r="B134" s="307"/>
      <c r="C134" s="308"/>
      <c r="D134" s="309"/>
      <c r="E134" s="113" t="str">
        <f>IFERROR(INDEX(Listen!$B$1:$B$38,MATCH(B134,Listen!$A$1:$A$38,0),1),"")</f>
        <v/>
      </c>
      <c r="F134" s="311"/>
      <c r="G134" s="313"/>
      <c r="H134" s="314"/>
      <c r="I134" s="309"/>
      <c r="J134" s="315"/>
      <c r="K134" s="313"/>
      <c r="L134" s="309"/>
      <c r="M134" s="309"/>
      <c r="N134" s="315"/>
      <c r="O134" s="314"/>
    </row>
    <row r="135" spans="1:15">
      <c r="A135" s="95"/>
      <c r="B135" s="307"/>
      <c r="C135" s="308"/>
      <c r="D135" s="309"/>
      <c r="E135" s="113" t="str">
        <f>IFERROR(INDEX(Listen!$B$1:$B$38,MATCH(B135,Listen!$A$1:$A$38,0),1),"")</f>
        <v/>
      </c>
      <c r="F135" s="311"/>
      <c r="G135" s="313"/>
      <c r="H135" s="314"/>
      <c r="I135" s="309"/>
      <c r="J135" s="315"/>
      <c r="K135" s="313"/>
      <c r="L135" s="309"/>
      <c r="M135" s="309"/>
      <c r="N135" s="315"/>
      <c r="O135" s="314"/>
    </row>
    <row r="136" spans="1:15">
      <c r="A136" s="95"/>
      <c r="B136" s="307"/>
      <c r="C136" s="308"/>
      <c r="D136" s="309"/>
      <c r="E136" s="113" t="str">
        <f>IFERROR(INDEX(Listen!$B$1:$B$38,MATCH(B136,Listen!$A$1:$A$38,0),1),"")</f>
        <v/>
      </c>
      <c r="F136" s="311"/>
      <c r="G136" s="313"/>
      <c r="H136" s="314"/>
      <c r="I136" s="309"/>
      <c r="J136" s="315"/>
      <c r="K136" s="313"/>
      <c r="L136" s="309"/>
      <c r="M136" s="309"/>
      <c r="N136" s="315"/>
      <c r="O136" s="314"/>
    </row>
    <row r="137" spans="1:15">
      <c r="A137" s="95"/>
      <c r="B137" s="307"/>
      <c r="C137" s="308"/>
      <c r="D137" s="309"/>
      <c r="E137" s="113" t="str">
        <f>IFERROR(INDEX(Listen!$B$1:$B$38,MATCH(B137,Listen!$A$1:$A$38,0),1),"")</f>
        <v/>
      </c>
      <c r="F137" s="311"/>
      <c r="G137" s="313"/>
      <c r="H137" s="314"/>
      <c r="I137" s="309"/>
      <c r="J137" s="315"/>
      <c r="K137" s="313"/>
      <c r="L137" s="309"/>
      <c r="M137" s="309"/>
      <c r="N137" s="315"/>
      <c r="O137" s="314"/>
    </row>
    <row r="138" spans="1:15">
      <c r="A138" s="95"/>
      <c r="B138" s="307"/>
      <c r="C138" s="308"/>
      <c r="D138" s="309"/>
      <c r="E138" s="113" t="str">
        <f>IFERROR(INDEX(Listen!$B$1:$B$38,MATCH(B138,Listen!$A$1:$A$38,0),1),"")</f>
        <v/>
      </c>
      <c r="F138" s="311"/>
      <c r="G138" s="313"/>
      <c r="H138" s="314"/>
      <c r="I138" s="309"/>
      <c r="J138" s="315"/>
      <c r="K138" s="313"/>
      <c r="L138" s="309"/>
      <c r="M138" s="309"/>
      <c r="N138" s="315"/>
      <c r="O138" s="314"/>
    </row>
    <row r="139" spans="1:15">
      <c r="A139" s="95"/>
      <c r="B139" s="307"/>
      <c r="C139" s="308"/>
      <c r="D139" s="309"/>
      <c r="E139" s="113" t="str">
        <f>IFERROR(INDEX(Listen!$B$1:$B$38,MATCH(B139,Listen!$A$1:$A$38,0),1),"")</f>
        <v/>
      </c>
      <c r="F139" s="311"/>
      <c r="G139" s="313"/>
      <c r="H139" s="314"/>
      <c r="I139" s="309"/>
      <c r="J139" s="315"/>
      <c r="K139" s="313"/>
      <c r="L139" s="309"/>
      <c r="M139" s="309"/>
      <c r="N139" s="315"/>
      <c r="O139" s="314"/>
    </row>
    <row r="140" spans="1:15">
      <c r="A140" s="95"/>
      <c r="B140" s="307"/>
      <c r="C140" s="308"/>
      <c r="D140" s="309"/>
      <c r="E140" s="113" t="str">
        <f>IFERROR(INDEX(Listen!$B$1:$B$38,MATCH(B140,Listen!$A$1:$A$38,0),1),"")</f>
        <v/>
      </c>
      <c r="F140" s="311"/>
      <c r="G140" s="313"/>
      <c r="H140" s="314"/>
      <c r="I140" s="309"/>
      <c r="J140" s="315"/>
      <c r="K140" s="313"/>
      <c r="L140" s="309"/>
      <c r="M140" s="309"/>
      <c r="N140" s="315"/>
      <c r="O140" s="314"/>
    </row>
    <row r="141" spans="1:15">
      <c r="A141" s="95"/>
      <c r="B141" s="307"/>
      <c r="C141" s="308"/>
      <c r="D141" s="309"/>
      <c r="E141" s="113" t="str">
        <f>IFERROR(INDEX(Listen!$B$1:$B$38,MATCH(B141,Listen!$A$1:$A$38,0),1),"")</f>
        <v/>
      </c>
      <c r="F141" s="311"/>
      <c r="G141" s="313"/>
      <c r="H141" s="314"/>
      <c r="I141" s="309"/>
      <c r="J141" s="315"/>
      <c r="K141" s="313"/>
      <c r="L141" s="309"/>
      <c r="M141" s="309"/>
      <c r="N141" s="315"/>
      <c r="O141" s="314"/>
    </row>
    <row r="142" spans="1:15">
      <c r="A142" s="95"/>
      <c r="B142" s="307"/>
      <c r="C142" s="308"/>
      <c r="D142" s="309"/>
      <c r="E142" s="113" t="str">
        <f>IFERROR(INDEX(Listen!$B$1:$B$38,MATCH(B142,Listen!$A$1:$A$38,0),1),"")</f>
        <v/>
      </c>
      <c r="F142" s="311"/>
      <c r="G142" s="313"/>
      <c r="H142" s="314"/>
      <c r="I142" s="309"/>
      <c r="J142" s="315"/>
      <c r="K142" s="313"/>
      <c r="L142" s="309"/>
      <c r="M142" s="309"/>
      <c r="N142" s="315"/>
      <c r="O142" s="314"/>
    </row>
    <row r="143" spans="1:15">
      <c r="A143" s="95"/>
      <c r="B143" s="307"/>
      <c r="C143" s="308"/>
      <c r="D143" s="309"/>
      <c r="E143" s="113" t="str">
        <f>IFERROR(INDEX(Listen!$B$1:$B$38,MATCH(B143,Listen!$A$1:$A$38,0),1),"")</f>
        <v/>
      </c>
      <c r="F143" s="311"/>
      <c r="G143" s="313"/>
      <c r="H143" s="314"/>
      <c r="I143" s="309"/>
      <c r="J143" s="315"/>
      <c r="K143" s="313"/>
      <c r="L143" s="309"/>
      <c r="M143" s="309"/>
      <c r="N143" s="315"/>
      <c r="O143" s="314"/>
    </row>
    <row r="144" spans="1:15">
      <c r="A144" s="95"/>
      <c r="B144" s="307"/>
      <c r="C144" s="308"/>
      <c r="D144" s="309"/>
      <c r="E144" s="113" t="str">
        <f>IFERROR(INDEX(Listen!$B$1:$B$38,MATCH(B144,Listen!$A$1:$A$38,0),1),"")</f>
        <v/>
      </c>
      <c r="F144" s="311"/>
      <c r="G144" s="313"/>
      <c r="H144" s="314"/>
      <c r="I144" s="309"/>
      <c r="J144" s="315"/>
      <c r="K144" s="313"/>
      <c r="L144" s="309"/>
      <c r="M144" s="309"/>
      <c r="N144" s="315"/>
      <c r="O144" s="314"/>
    </row>
    <row r="145" spans="1:15">
      <c r="A145" s="95"/>
      <c r="B145" s="307"/>
      <c r="C145" s="308"/>
      <c r="D145" s="309"/>
      <c r="E145" s="113" t="str">
        <f>IFERROR(INDEX(Listen!$B$1:$B$38,MATCH(B145,Listen!$A$1:$A$38,0),1),"")</f>
        <v/>
      </c>
      <c r="F145" s="311"/>
      <c r="G145" s="313"/>
      <c r="H145" s="314"/>
      <c r="I145" s="309"/>
      <c r="J145" s="315"/>
      <c r="K145" s="313"/>
      <c r="L145" s="309"/>
      <c r="M145" s="309"/>
      <c r="N145" s="315"/>
      <c r="O145" s="314"/>
    </row>
    <row r="146" spans="1:15">
      <c r="A146" s="95"/>
      <c r="B146" s="307"/>
      <c r="C146" s="308"/>
      <c r="D146" s="309"/>
      <c r="E146" s="113" t="str">
        <f>IFERROR(INDEX(Listen!$B$1:$B$38,MATCH(B146,Listen!$A$1:$A$38,0),1),"")</f>
        <v/>
      </c>
      <c r="F146" s="311"/>
      <c r="G146" s="313"/>
      <c r="H146" s="314"/>
      <c r="I146" s="309"/>
      <c r="J146" s="315"/>
      <c r="K146" s="313"/>
      <c r="L146" s="309"/>
      <c r="M146" s="309"/>
      <c r="N146" s="315"/>
      <c r="O146" s="314"/>
    </row>
    <row r="147" spans="1:15">
      <c r="A147" s="95"/>
      <c r="B147" s="307"/>
      <c r="C147" s="308"/>
      <c r="D147" s="309"/>
      <c r="E147" s="113" t="str">
        <f>IFERROR(INDEX(Listen!$B$1:$B$38,MATCH(B147,Listen!$A$1:$A$38,0),1),"")</f>
        <v/>
      </c>
      <c r="F147" s="311"/>
      <c r="G147" s="313"/>
      <c r="H147" s="314"/>
      <c r="I147" s="309"/>
      <c r="J147" s="315"/>
      <c r="K147" s="313"/>
      <c r="L147" s="309"/>
      <c r="M147" s="309"/>
      <c r="N147" s="315"/>
      <c r="O147" s="314"/>
    </row>
    <row r="148" spans="1:15">
      <c r="A148" s="95"/>
      <c r="B148" s="307"/>
      <c r="C148" s="308"/>
      <c r="D148" s="309"/>
      <c r="E148" s="113" t="str">
        <f>IFERROR(INDEX(Listen!$B$1:$B$38,MATCH(B148,Listen!$A$1:$A$38,0),1),"")</f>
        <v/>
      </c>
      <c r="F148" s="311"/>
      <c r="G148" s="313"/>
      <c r="H148" s="314"/>
      <c r="I148" s="309"/>
      <c r="J148" s="315"/>
      <c r="K148" s="313"/>
      <c r="L148" s="309"/>
      <c r="M148" s="309"/>
      <c r="N148" s="315"/>
      <c r="O148" s="314"/>
    </row>
    <row r="149" spans="1:15">
      <c r="A149" s="95"/>
      <c r="B149" s="307"/>
      <c r="C149" s="308"/>
      <c r="D149" s="309"/>
      <c r="E149" s="113" t="str">
        <f>IFERROR(INDEX(Listen!$B$1:$B$38,MATCH(B149,Listen!$A$1:$A$38,0),1),"")</f>
        <v/>
      </c>
      <c r="F149" s="311"/>
      <c r="G149" s="313"/>
      <c r="H149" s="314"/>
      <c r="I149" s="309"/>
      <c r="J149" s="315"/>
      <c r="K149" s="313"/>
      <c r="L149" s="309"/>
      <c r="M149" s="309"/>
      <c r="N149" s="315"/>
      <c r="O149" s="314"/>
    </row>
    <row r="150" spans="1:15">
      <c r="A150" s="95"/>
      <c r="B150" s="307"/>
      <c r="C150" s="308"/>
      <c r="D150" s="309"/>
      <c r="E150" s="113" t="str">
        <f>IFERROR(INDEX(Listen!$B$1:$B$38,MATCH(B150,Listen!$A$1:$A$38,0),1),"")</f>
        <v/>
      </c>
      <c r="F150" s="311"/>
      <c r="G150" s="313"/>
      <c r="H150" s="314"/>
      <c r="I150" s="309"/>
      <c r="J150" s="315"/>
      <c r="K150" s="313"/>
      <c r="L150" s="309"/>
      <c r="M150" s="309"/>
      <c r="N150" s="315"/>
      <c r="O150" s="314"/>
    </row>
    <row r="151" spans="1:15">
      <c r="A151" s="95"/>
      <c r="B151" s="307"/>
      <c r="C151" s="308"/>
      <c r="D151" s="309"/>
      <c r="E151" s="113" t="str">
        <f>IFERROR(INDEX(Listen!$B$1:$B$38,MATCH(B151,Listen!$A$1:$A$38,0),1),"")</f>
        <v/>
      </c>
      <c r="F151" s="311"/>
      <c r="G151" s="313"/>
      <c r="H151" s="314"/>
      <c r="I151" s="309"/>
      <c r="J151" s="315"/>
      <c r="K151" s="313"/>
      <c r="L151" s="309"/>
      <c r="M151" s="309"/>
      <c r="N151" s="315"/>
      <c r="O151" s="314"/>
    </row>
    <row r="152" spans="1:15">
      <c r="A152" s="95"/>
      <c r="B152" s="307"/>
      <c r="C152" s="308"/>
      <c r="D152" s="309"/>
      <c r="E152" s="113" t="str">
        <f>IFERROR(INDEX(Listen!$B$1:$B$38,MATCH(B152,Listen!$A$1:$A$38,0),1),"")</f>
        <v/>
      </c>
      <c r="F152" s="311"/>
      <c r="G152" s="313"/>
      <c r="H152" s="314"/>
      <c r="I152" s="309"/>
      <c r="J152" s="315"/>
      <c r="K152" s="313"/>
      <c r="L152" s="309"/>
      <c r="M152" s="309"/>
      <c r="N152" s="315"/>
      <c r="O152" s="314"/>
    </row>
    <row r="153" spans="1:15">
      <c r="A153" s="95"/>
      <c r="B153" s="307"/>
      <c r="C153" s="308"/>
      <c r="D153" s="309"/>
      <c r="E153" s="113" t="str">
        <f>IFERROR(INDEX(Listen!$B$1:$B$38,MATCH(B153,Listen!$A$1:$A$38,0),1),"")</f>
        <v/>
      </c>
      <c r="F153" s="311"/>
      <c r="G153" s="313"/>
      <c r="H153" s="314"/>
      <c r="I153" s="309"/>
      <c r="J153" s="315"/>
      <c r="K153" s="313"/>
      <c r="L153" s="309"/>
      <c r="M153" s="309"/>
      <c r="N153" s="315"/>
      <c r="O153" s="314"/>
    </row>
    <row r="154" spans="1:15">
      <c r="A154" s="95"/>
      <c r="B154" s="307"/>
      <c r="C154" s="308"/>
      <c r="D154" s="309"/>
      <c r="E154" s="113" t="str">
        <f>IFERROR(INDEX(Listen!$B$1:$B$38,MATCH(B154,Listen!$A$1:$A$38,0),1),"")</f>
        <v/>
      </c>
      <c r="F154" s="311"/>
      <c r="G154" s="313"/>
      <c r="H154" s="314"/>
      <c r="I154" s="309"/>
      <c r="J154" s="315"/>
      <c r="K154" s="313"/>
      <c r="L154" s="309"/>
      <c r="M154" s="309"/>
      <c r="N154" s="315"/>
      <c r="O154" s="314"/>
    </row>
    <row r="155" spans="1:15">
      <c r="A155" s="95"/>
      <c r="B155" s="307"/>
      <c r="C155" s="308"/>
      <c r="D155" s="309"/>
      <c r="E155" s="113" t="str">
        <f>IFERROR(INDEX(Listen!$B$1:$B$38,MATCH(B155,Listen!$A$1:$A$38,0),1),"")</f>
        <v/>
      </c>
      <c r="F155" s="311"/>
      <c r="G155" s="313"/>
      <c r="H155" s="314"/>
      <c r="I155" s="309"/>
      <c r="J155" s="315"/>
      <c r="K155" s="313"/>
      <c r="L155" s="309"/>
      <c r="M155" s="309"/>
      <c r="N155" s="315"/>
      <c r="O155" s="314"/>
    </row>
    <row r="156" spans="1:15">
      <c r="A156" s="95"/>
      <c r="B156" s="307"/>
      <c r="C156" s="308"/>
      <c r="D156" s="309"/>
      <c r="E156" s="113" t="str">
        <f>IFERROR(INDEX(Listen!$B$1:$B$38,MATCH(B156,Listen!$A$1:$A$38,0),1),"")</f>
        <v/>
      </c>
      <c r="F156" s="311"/>
      <c r="G156" s="313"/>
      <c r="H156" s="314"/>
      <c r="I156" s="309"/>
      <c r="J156" s="315"/>
      <c r="K156" s="313"/>
      <c r="L156" s="309"/>
      <c r="M156" s="309"/>
      <c r="N156" s="315"/>
      <c r="O156" s="314"/>
    </row>
    <row r="157" spans="1:15">
      <c r="A157" s="95"/>
      <c r="B157" s="307"/>
      <c r="C157" s="308"/>
      <c r="D157" s="309"/>
      <c r="E157" s="113" t="str">
        <f>IFERROR(INDEX(Listen!$B$1:$B$38,MATCH(B157,Listen!$A$1:$A$38,0),1),"")</f>
        <v/>
      </c>
      <c r="F157" s="311"/>
      <c r="G157" s="313"/>
      <c r="H157" s="314"/>
      <c r="I157" s="309"/>
      <c r="J157" s="315"/>
      <c r="K157" s="313"/>
      <c r="L157" s="309"/>
      <c r="M157" s="309"/>
      <c r="N157" s="315"/>
      <c r="O157" s="314"/>
    </row>
    <row r="158" spans="1:15">
      <c r="A158" s="95"/>
      <c r="B158" s="307"/>
      <c r="C158" s="308"/>
      <c r="D158" s="309"/>
      <c r="E158" s="113" t="str">
        <f>IFERROR(INDEX(Listen!$B$1:$B$38,MATCH(B158,Listen!$A$1:$A$38,0),1),"")</f>
        <v/>
      </c>
      <c r="F158" s="311"/>
      <c r="G158" s="313"/>
      <c r="H158" s="314"/>
      <c r="I158" s="309"/>
      <c r="J158" s="315"/>
      <c r="K158" s="313"/>
      <c r="L158" s="309"/>
      <c r="M158" s="309"/>
      <c r="N158" s="315"/>
      <c r="O158" s="314"/>
    </row>
    <row r="159" spans="1:15">
      <c r="A159" s="95"/>
      <c r="B159" s="307"/>
      <c r="C159" s="308"/>
      <c r="D159" s="309"/>
      <c r="E159" s="113" t="str">
        <f>IFERROR(INDEX(Listen!$B$1:$B$38,MATCH(B159,Listen!$A$1:$A$38,0),1),"")</f>
        <v/>
      </c>
      <c r="F159" s="311"/>
      <c r="G159" s="313"/>
      <c r="H159" s="314"/>
      <c r="I159" s="309"/>
      <c r="J159" s="315"/>
      <c r="K159" s="313"/>
      <c r="L159" s="309"/>
      <c r="M159" s="309"/>
      <c r="N159" s="315"/>
      <c r="O159" s="314"/>
    </row>
    <row r="160" spans="1:15">
      <c r="A160" s="95"/>
      <c r="B160" s="307"/>
      <c r="C160" s="308"/>
      <c r="D160" s="309"/>
      <c r="E160" s="113" t="str">
        <f>IFERROR(INDEX(Listen!$B$1:$B$38,MATCH(B160,Listen!$A$1:$A$38,0),1),"")</f>
        <v/>
      </c>
      <c r="F160" s="311"/>
      <c r="G160" s="313"/>
      <c r="H160" s="314"/>
      <c r="I160" s="309"/>
      <c r="J160" s="315"/>
      <c r="K160" s="313"/>
      <c r="L160" s="309"/>
      <c r="M160" s="309"/>
      <c r="N160" s="315"/>
      <c r="O160" s="314"/>
    </row>
    <row r="161" spans="1:15">
      <c r="A161" s="95"/>
      <c r="B161" s="307"/>
      <c r="C161" s="308"/>
      <c r="D161" s="309"/>
      <c r="E161" s="113" t="str">
        <f>IFERROR(INDEX(Listen!$B$1:$B$38,MATCH(B161,Listen!$A$1:$A$38,0),1),"")</f>
        <v/>
      </c>
      <c r="F161" s="311"/>
      <c r="G161" s="313"/>
      <c r="H161" s="314"/>
      <c r="I161" s="309"/>
      <c r="J161" s="315"/>
      <c r="K161" s="313"/>
      <c r="L161" s="309"/>
      <c r="M161" s="309"/>
      <c r="N161" s="315"/>
      <c r="O161" s="314"/>
    </row>
    <row r="162" spans="1:15">
      <c r="A162" s="95"/>
      <c r="B162" s="307"/>
      <c r="C162" s="308"/>
      <c r="D162" s="309"/>
      <c r="E162" s="113" t="str">
        <f>IFERROR(INDEX(Listen!$B$1:$B$38,MATCH(B162,Listen!$A$1:$A$38,0),1),"")</f>
        <v/>
      </c>
      <c r="F162" s="311"/>
      <c r="G162" s="313"/>
      <c r="H162" s="314"/>
      <c r="I162" s="309"/>
      <c r="J162" s="315"/>
      <c r="K162" s="313"/>
      <c r="L162" s="309"/>
      <c r="M162" s="309"/>
      <c r="N162" s="315"/>
      <c r="O162" s="314"/>
    </row>
    <row r="163" spans="1:15" s="112" customFormat="1">
      <c r="A163" s="95"/>
      <c r="B163" s="307"/>
      <c r="C163" s="308"/>
      <c r="D163" s="309"/>
      <c r="E163" s="113" t="str">
        <f>IFERROR(INDEX(Listen!$B$1:$B$38,MATCH(B163,Listen!$A$1:$A$38,0),1),"")</f>
        <v/>
      </c>
      <c r="F163" s="311"/>
      <c r="G163" s="313"/>
      <c r="H163" s="314"/>
      <c r="I163" s="309"/>
      <c r="J163" s="315"/>
      <c r="K163" s="313"/>
      <c r="L163" s="309"/>
      <c r="M163" s="309"/>
      <c r="N163" s="315"/>
      <c r="O163" s="307"/>
    </row>
    <row r="164" spans="1:15" s="112" customFormat="1">
      <c r="A164" s="95"/>
      <c r="B164" s="307"/>
      <c r="C164" s="308"/>
      <c r="D164" s="309"/>
      <c r="E164" s="113" t="str">
        <f>IFERROR(INDEX(Listen!$B$1:$B$38,MATCH(B164,Listen!$A$1:$A$38,0),1),"")</f>
        <v/>
      </c>
      <c r="F164" s="311"/>
      <c r="G164" s="313"/>
      <c r="H164" s="314"/>
      <c r="I164" s="309"/>
      <c r="J164" s="315"/>
      <c r="K164" s="313"/>
      <c r="L164" s="309"/>
      <c r="M164" s="309"/>
      <c r="N164" s="315"/>
      <c r="O164" s="307"/>
    </row>
    <row r="165" spans="1:15" s="112" customFormat="1">
      <c r="A165" s="95"/>
      <c r="B165" s="307"/>
      <c r="C165" s="308"/>
      <c r="D165" s="309"/>
      <c r="E165" s="113" t="str">
        <f>IFERROR(INDEX(Listen!$B$1:$B$38,MATCH(B165,Listen!$A$1:$A$38,0),1),"")</f>
        <v/>
      </c>
      <c r="F165" s="311"/>
      <c r="G165" s="313"/>
      <c r="H165" s="314"/>
      <c r="I165" s="309"/>
      <c r="J165" s="315"/>
      <c r="K165" s="313"/>
      <c r="L165" s="309"/>
      <c r="M165" s="309"/>
      <c r="N165" s="315"/>
      <c r="O165" s="307"/>
    </row>
    <row r="166" spans="1:15" s="112" customFormat="1">
      <c r="A166" s="95"/>
      <c r="B166" s="307"/>
      <c r="C166" s="308"/>
      <c r="D166" s="309"/>
      <c r="E166" s="113" t="str">
        <f>IFERROR(INDEX(Listen!$B$1:$B$38,MATCH(B166,Listen!$A$1:$A$38,0),1),"")</f>
        <v/>
      </c>
      <c r="F166" s="311"/>
      <c r="G166" s="313"/>
      <c r="H166" s="314"/>
      <c r="I166" s="309"/>
      <c r="J166" s="315"/>
      <c r="K166" s="313"/>
      <c r="L166" s="309"/>
      <c r="M166" s="309"/>
      <c r="N166" s="315"/>
      <c r="O166" s="307"/>
    </row>
    <row r="167" spans="1:15" s="112" customFormat="1">
      <c r="A167" s="95"/>
      <c r="B167" s="307"/>
      <c r="C167" s="308"/>
      <c r="D167" s="309"/>
      <c r="E167" s="113" t="str">
        <f>IFERROR(INDEX(Listen!$B$1:$B$38,MATCH(B167,Listen!$A$1:$A$38,0),1),"")</f>
        <v/>
      </c>
      <c r="F167" s="311"/>
      <c r="G167" s="313"/>
      <c r="H167" s="314"/>
      <c r="I167" s="309"/>
      <c r="J167" s="315"/>
      <c r="K167" s="313"/>
      <c r="L167" s="309"/>
      <c r="M167" s="309"/>
      <c r="N167" s="315"/>
      <c r="O167" s="307"/>
    </row>
    <row r="168" spans="1:15" s="112" customFormat="1">
      <c r="A168" s="95"/>
      <c r="B168" s="307"/>
      <c r="C168" s="308"/>
      <c r="D168" s="309"/>
      <c r="E168" s="113" t="str">
        <f>IFERROR(INDEX(Listen!$B$1:$B$38,MATCH(B168,Listen!$A$1:$A$38,0),1),"")</f>
        <v/>
      </c>
      <c r="F168" s="311"/>
      <c r="G168" s="313"/>
      <c r="H168" s="314"/>
      <c r="I168" s="309"/>
      <c r="J168" s="315"/>
      <c r="K168" s="313"/>
      <c r="L168" s="309"/>
      <c r="M168" s="309"/>
      <c r="N168" s="315"/>
      <c r="O168" s="307"/>
    </row>
    <row r="169" spans="1:15" s="112" customFormat="1">
      <c r="A169" s="95"/>
      <c r="B169" s="307"/>
      <c r="C169" s="308"/>
      <c r="D169" s="309"/>
      <c r="E169" s="113" t="str">
        <f>IFERROR(INDEX(Listen!$B$1:$B$38,MATCH(B169,Listen!$A$1:$A$38,0),1),"")</f>
        <v/>
      </c>
      <c r="F169" s="311"/>
      <c r="G169" s="313"/>
      <c r="H169" s="314"/>
      <c r="I169" s="309"/>
      <c r="J169" s="315"/>
      <c r="K169" s="313"/>
      <c r="L169" s="309"/>
      <c r="M169" s="309"/>
      <c r="N169" s="315"/>
      <c r="O169" s="307"/>
    </row>
    <row r="170" spans="1:15" s="112" customFormat="1">
      <c r="A170" s="95"/>
      <c r="B170" s="308"/>
      <c r="C170" s="308"/>
      <c r="D170" s="310"/>
      <c r="E170" s="113" t="str">
        <f>IFERROR(INDEX(Listen!$B$1:$B$38,MATCH(B170,Listen!$A$1:$A$38,0),1),"")</f>
        <v/>
      </c>
      <c r="F170" s="311"/>
      <c r="G170" s="316"/>
      <c r="H170" s="311"/>
      <c r="I170" s="312"/>
      <c r="J170" s="315"/>
      <c r="K170" s="313"/>
      <c r="L170" s="311"/>
      <c r="M170" s="312"/>
      <c r="N170" s="315"/>
      <c r="O170" s="307"/>
    </row>
    <row r="171" spans="1:15" s="112" customFormat="1">
      <c r="A171" s="95"/>
      <c r="B171" s="308"/>
      <c r="C171" s="308"/>
      <c r="D171" s="310"/>
      <c r="E171" s="113" t="str">
        <f>IFERROR(INDEX(Listen!$B$1:$B$38,MATCH(B171,Listen!$A$1:$A$38,0),1),"")</f>
        <v/>
      </c>
      <c r="F171" s="311"/>
      <c r="G171" s="316"/>
      <c r="H171" s="311"/>
      <c r="I171" s="312"/>
      <c r="J171" s="315"/>
      <c r="K171" s="313"/>
      <c r="L171" s="311"/>
      <c r="M171" s="312"/>
      <c r="N171" s="315"/>
      <c r="O171" s="307"/>
    </row>
    <row r="172" spans="1:15" s="112" customFormat="1">
      <c r="A172" s="95"/>
      <c r="B172" s="308"/>
      <c r="C172" s="308"/>
      <c r="D172" s="310"/>
      <c r="E172" s="113" t="str">
        <f>IFERROR(INDEX(Listen!$B$1:$B$38,MATCH(B172,Listen!$A$1:$A$38,0),1),"")</f>
        <v/>
      </c>
      <c r="F172" s="311"/>
      <c r="G172" s="316"/>
      <c r="H172" s="311"/>
      <c r="I172" s="312"/>
      <c r="J172" s="315"/>
      <c r="K172" s="313"/>
      <c r="L172" s="311"/>
      <c r="M172" s="312"/>
      <c r="N172" s="315"/>
      <c r="O172" s="307"/>
    </row>
    <row r="173" spans="1:15" s="112" customFormat="1">
      <c r="A173" s="95"/>
      <c r="B173" s="308"/>
      <c r="C173" s="308"/>
      <c r="D173" s="310"/>
      <c r="E173" s="113" t="str">
        <f>IFERROR(INDEX(Listen!$B$1:$B$38,MATCH(B173,Listen!$A$1:$A$38,0),1),"")</f>
        <v/>
      </c>
      <c r="F173" s="311"/>
      <c r="G173" s="316"/>
      <c r="H173" s="311"/>
      <c r="I173" s="312"/>
      <c r="J173" s="315"/>
      <c r="K173" s="313"/>
      <c r="L173" s="311"/>
      <c r="M173" s="312"/>
      <c r="N173" s="315"/>
      <c r="O173" s="307"/>
    </row>
    <row r="174" spans="1:15" s="112" customFormat="1">
      <c r="A174" s="95"/>
      <c r="B174" s="308"/>
      <c r="C174" s="308"/>
      <c r="D174" s="310"/>
      <c r="E174" s="113" t="str">
        <f>IFERROR(INDEX(Listen!$B$1:$B$38,MATCH(B174,Listen!$A$1:$A$38,0),1),"")</f>
        <v/>
      </c>
      <c r="F174" s="311"/>
      <c r="G174" s="316"/>
      <c r="H174" s="311"/>
      <c r="I174" s="312"/>
      <c r="J174" s="315"/>
      <c r="K174" s="313"/>
      <c r="L174" s="311"/>
      <c r="M174" s="312"/>
      <c r="N174" s="315"/>
      <c r="O174" s="307"/>
    </row>
    <row r="175" spans="1:15" s="112" customFormat="1">
      <c r="A175" s="95"/>
      <c r="B175" s="308"/>
      <c r="C175" s="308"/>
      <c r="D175" s="310"/>
      <c r="E175" s="113" t="str">
        <f>IFERROR(INDEX(Listen!$B$1:$B$38,MATCH(B175,Listen!$A$1:$A$38,0),1),"")</f>
        <v/>
      </c>
      <c r="F175" s="311"/>
      <c r="G175" s="316"/>
      <c r="H175" s="311"/>
      <c r="I175" s="312"/>
      <c r="J175" s="315"/>
      <c r="K175" s="313"/>
      <c r="L175" s="311"/>
      <c r="M175" s="312"/>
      <c r="N175" s="315"/>
      <c r="O175" s="307"/>
    </row>
    <row r="176" spans="1:15" s="112" customFormat="1">
      <c r="A176" s="95"/>
      <c r="B176" s="308"/>
      <c r="C176" s="308"/>
      <c r="D176" s="310"/>
      <c r="E176" s="113" t="str">
        <f>IFERROR(INDEX(Listen!$B$1:$B$38,MATCH(B176,Listen!$A$1:$A$38,0),1),"")</f>
        <v/>
      </c>
      <c r="F176" s="311"/>
      <c r="G176" s="316"/>
      <c r="H176" s="311"/>
      <c r="I176" s="312"/>
      <c r="J176" s="315"/>
      <c r="K176" s="313"/>
      <c r="L176" s="311"/>
      <c r="M176" s="312"/>
      <c r="N176" s="315"/>
      <c r="O176" s="307"/>
    </row>
    <row r="177" spans="1:15" s="112" customFormat="1">
      <c r="A177" s="95"/>
      <c r="B177" s="308"/>
      <c r="C177" s="308"/>
      <c r="D177" s="310"/>
      <c r="E177" s="113" t="str">
        <f>IFERROR(INDEX(Listen!$B$1:$B$38,MATCH(B177,Listen!$A$1:$A$38,0),1),"")</f>
        <v/>
      </c>
      <c r="F177" s="311"/>
      <c r="G177" s="316"/>
      <c r="H177" s="311"/>
      <c r="I177" s="312"/>
      <c r="J177" s="315"/>
      <c r="K177" s="313"/>
      <c r="L177" s="311"/>
      <c r="M177" s="312"/>
      <c r="N177" s="315"/>
      <c r="O177" s="307"/>
    </row>
    <row r="178" spans="1:15" s="112" customFormat="1">
      <c r="A178" s="95"/>
      <c r="B178" s="308"/>
      <c r="C178" s="308"/>
      <c r="D178" s="310"/>
      <c r="E178" s="113" t="str">
        <f>IFERROR(INDEX(Listen!$B$1:$B$38,MATCH(B178,Listen!$A$1:$A$38,0),1),"")</f>
        <v/>
      </c>
      <c r="F178" s="311"/>
      <c r="G178" s="316"/>
      <c r="H178" s="311"/>
      <c r="I178" s="312"/>
      <c r="J178" s="315"/>
      <c r="K178" s="313"/>
      <c r="L178" s="311"/>
      <c r="M178" s="312"/>
      <c r="N178" s="315"/>
      <c r="O178" s="307"/>
    </row>
    <row r="179" spans="1:15" s="112" customFormat="1">
      <c r="A179" s="95"/>
      <c r="B179" s="308"/>
      <c r="C179" s="308"/>
      <c r="D179" s="310"/>
      <c r="E179" s="113" t="str">
        <f>IFERROR(INDEX(Listen!$B$1:$B$38,MATCH(B179,Listen!$A$1:$A$38,0),1),"")</f>
        <v/>
      </c>
      <c r="F179" s="311"/>
      <c r="G179" s="316"/>
      <c r="H179" s="311"/>
      <c r="I179" s="312"/>
      <c r="J179" s="315"/>
      <c r="K179" s="313"/>
      <c r="L179" s="311"/>
      <c r="M179" s="312"/>
      <c r="N179" s="315"/>
      <c r="O179" s="307"/>
    </row>
    <row r="180" spans="1:15" s="112" customFormat="1">
      <c r="A180" s="95"/>
      <c r="B180" s="308"/>
      <c r="C180" s="308"/>
      <c r="D180" s="310"/>
      <c r="E180" s="113" t="str">
        <f>IFERROR(INDEX(Listen!$B$1:$B$38,MATCH(B180,Listen!$A$1:$A$38,0),1),"")</f>
        <v/>
      </c>
      <c r="F180" s="311"/>
      <c r="G180" s="316"/>
      <c r="H180" s="311"/>
      <c r="I180" s="312"/>
      <c r="J180" s="315"/>
      <c r="K180" s="313"/>
      <c r="L180" s="311"/>
      <c r="M180" s="312"/>
      <c r="N180" s="315"/>
      <c r="O180" s="307"/>
    </row>
    <row r="181" spans="1:15" s="112" customFormat="1">
      <c r="A181" s="95"/>
      <c r="B181" s="308"/>
      <c r="C181" s="308"/>
      <c r="D181" s="310"/>
      <c r="E181" s="113" t="str">
        <f>IFERROR(INDEX(Listen!$B$1:$B$38,MATCH(B181,Listen!$A$1:$A$38,0),1),"")</f>
        <v/>
      </c>
      <c r="F181" s="311"/>
      <c r="G181" s="316"/>
      <c r="H181" s="311"/>
      <c r="I181" s="312"/>
      <c r="J181" s="315"/>
      <c r="K181" s="313"/>
      <c r="L181" s="311"/>
      <c r="M181" s="312"/>
      <c r="N181" s="315"/>
      <c r="O181" s="307"/>
    </row>
    <row r="182" spans="1:15" s="112" customFormat="1">
      <c r="A182" s="95"/>
      <c r="B182" s="308"/>
      <c r="C182" s="308"/>
      <c r="D182" s="310"/>
      <c r="E182" s="113" t="str">
        <f>IFERROR(INDEX(Listen!$B$1:$B$38,MATCH(B182,Listen!$A$1:$A$38,0),1),"")</f>
        <v/>
      </c>
      <c r="F182" s="311"/>
      <c r="G182" s="316"/>
      <c r="H182" s="311"/>
      <c r="I182" s="312"/>
      <c r="J182" s="315"/>
      <c r="K182" s="313"/>
      <c r="L182" s="311"/>
      <c r="M182" s="312"/>
      <c r="N182" s="315"/>
      <c r="O182" s="307"/>
    </row>
    <row r="183" spans="1:15" s="112" customFormat="1">
      <c r="A183" s="95"/>
      <c r="B183" s="308"/>
      <c r="C183" s="308"/>
      <c r="D183" s="310"/>
      <c r="E183" s="113" t="str">
        <f>IFERROR(INDEX(Listen!$B$1:$B$38,MATCH(B183,Listen!$A$1:$A$38,0),1),"")</f>
        <v/>
      </c>
      <c r="F183" s="311"/>
      <c r="G183" s="316"/>
      <c r="H183" s="311"/>
      <c r="I183" s="312"/>
      <c r="J183" s="315"/>
      <c r="K183" s="313"/>
      <c r="L183" s="311"/>
      <c r="M183" s="312"/>
      <c r="N183" s="315"/>
      <c r="O183" s="307"/>
    </row>
    <row r="184" spans="1:15" s="112" customFormat="1">
      <c r="A184" s="95"/>
      <c r="B184" s="308"/>
      <c r="C184" s="308"/>
      <c r="D184" s="310"/>
      <c r="E184" s="113" t="str">
        <f>IFERROR(INDEX(Listen!$B$1:$B$38,MATCH(B184,Listen!$A$1:$A$38,0),1),"")</f>
        <v/>
      </c>
      <c r="F184" s="311"/>
      <c r="G184" s="316"/>
      <c r="H184" s="311"/>
      <c r="I184" s="312"/>
      <c r="J184" s="315"/>
      <c r="K184" s="313"/>
      <c r="L184" s="311"/>
      <c r="M184" s="312"/>
      <c r="N184" s="315"/>
      <c r="O184" s="307"/>
    </row>
    <row r="185" spans="1:15" s="112" customFormat="1">
      <c r="A185" s="95"/>
      <c r="B185" s="308"/>
      <c r="C185" s="308"/>
      <c r="D185" s="310"/>
      <c r="E185" s="113" t="str">
        <f>IFERROR(INDEX(Listen!$B$1:$B$38,MATCH(B185,Listen!$A$1:$A$38,0),1),"")</f>
        <v/>
      </c>
      <c r="F185" s="311"/>
      <c r="G185" s="316"/>
      <c r="H185" s="311"/>
      <c r="I185" s="312"/>
      <c r="J185" s="315"/>
      <c r="K185" s="313"/>
      <c r="L185" s="311"/>
      <c r="M185" s="312"/>
      <c r="N185" s="315"/>
      <c r="O185" s="307"/>
    </row>
    <row r="186" spans="1:15" s="112" customFormat="1">
      <c r="A186" s="95"/>
      <c r="B186" s="308"/>
      <c r="C186" s="308"/>
      <c r="D186" s="310"/>
      <c r="E186" s="113" t="str">
        <f>IFERROR(INDEX(Listen!$B$1:$B$38,MATCH(B186,Listen!$A$1:$A$38,0),1),"")</f>
        <v/>
      </c>
      <c r="F186" s="311"/>
      <c r="G186" s="316"/>
      <c r="H186" s="311"/>
      <c r="I186" s="312"/>
      <c r="J186" s="315"/>
      <c r="K186" s="313"/>
      <c r="L186" s="311"/>
      <c r="M186" s="312"/>
      <c r="N186" s="315"/>
      <c r="O186" s="307"/>
    </row>
    <row r="187" spans="1:15" s="112" customFormat="1">
      <c r="A187" s="95"/>
      <c r="B187" s="308"/>
      <c r="C187" s="308"/>
      <c r="D187" s="310"/>
      <c r="E187" s="113" t="str">
        <f>IFERROR(INDEX(Listen!$B$1:$B$38,MATCH(B187,Listen!$A$1:$A$38,0),1),"")</f>
        <v/>
      </c>
      <c r="F187" s="311"/>
      <c r="G187" s="316"/>
      <c r="H187" s="311"/>
      <c r="I187" s="312"/>
      <c r="J187" s="315"/>
      <c r="K187" s="313"/>
      <c r="L187" s="311"/>
      <c r="M187" s="312"/>
      <c r="N187" s="315"/>
      <c r="O187" s="307"/>
    </row>
    <row r="188" spans="1:15" s="112" customFormat="1">
      <c r="A188" s="95"/>
      <c r="B188" s="308"/>
      <c r="C188" s="308"/>
      <c r="D188" s="310"/>
      <c r="E188" s="113" t="str">
        <f>IFERROR(INDEX(Listen!$B$1:$B$38,MATCH(B188,Listen!$A$1:$A$38,0),1),"")</f>
        <v/>
      </c>
      <c r="F188" s="311"/>
      <c r="G188" s="316"/>
      <c r="H188" s="311"/>
      <c r="I188" s="312"/>
      <c r="J188" s="315"/>
      <c r="K188" s="313"/>
      <c r="L188" s="311"/>
      <c r="M188" s="312"/>
      <c r="N188" s="315"/>
      <c r="O188" s="307"/>
    </row>
    <row r="189" spans="1:15" s="112" customFormat="1">
      <c r="A189" s="95"/>
      <c r="B189" s="308"/>
      <c r="C189" s="308"/>
      <c r="D189" s="310"/>
      <c r="E189" s="113" t="str">
        <f>IFERROR(INDEX(Listen!$B$1:$B$38,MATCH(B189,Listen!$A$1:$A$38,0),1),"")</f>
        <v/>
      </c>
      <c r="F189" s="311"/>
      <c r="G189" s="316"/>
      <c r="H189" s="311"/>
      <c r="I189" s="312"/>
      <c r="J189" s="315"/>
      <c r="K189" s="313"/>
      <c r="L189" s="311"/>
      <c r="M189" s="312"/>
      <c r="N189" s="315"/>
      <c r="O189" s="307"/>
    </row>
    <row r="190" spans="1:15" s="112" customFormat="1">
      <c r="A190" s="95"/>
      <c r="B190" s="308"/>
      <c r="C190" s="308"/>
      <c r="D190" s="310"/>
      <c r="E190" s="113" t="str">
        <f>IFERROR(INDEX(Listen!$B$1:$B$38,MATCH(B190,Listen!$A$1:$A$38,0),1),"")</f>
        <v/>
      </c>
      <c r="F190" s="311"/>
      <c r="G190" s="316"/>
      <c r="H190" s="311"/>
      <c r="I190" s="312"/>
      <c r="J190" s="315"/>
      <c r="K190" s="313"/>
      <c r="L190" s="311"/>
      <c r="M190" s="312"/>
      <c r="N190" s="315"/>
      <c r="O190" s="307"/>
    </row>
    <row r="191" spans="1:15" s="112" customFormat="1">
      <c r="A191" s="95"/>
      <c r="B191" s="308"/>
      <c r="C191" s="308"/>
      <c r="D191" s="310"/>
      <c r="E191" s="113" t="str">
        <f>IFERROR(INDEX(Listen!$B$1:$B$38,MATCH(B191,Listen!$A$1:$A$38,0),1),"")</f>
        <v/>
      </c>
      <c r="F191" s="311"/>
      <c r="G191" s="316"/>
      <c r="H191" s="311"/>
      <c r="I191" s="312"/>
      <c r="J191" s="315"/>
      <c r="K191" s="313"/>
      <c r="L191" s="311"/>
      <c r="M191" s="312"/>
      <c r="N191" s="315"/>
      <c r="O191" s="307"/>
    </row>
    <row r="192" spans="1:15" s="112" customFormat="1">
      <c r="A192" s="95"/>
      <c r="B192" s="308"/>
      <c r="C192" s="308"/>
      <c r="D192" s="310"/>
      <c r="E192" s="113" t="str">
        <f>IFERROR(INDEX(Listen!$B$1:$B$38,MATCH(B192,Listen!$A$1:$A$38,0),1),"")</f>
        <v/>
      </c>
      <c r="F192" s="311"/>
      <c r="G192" s="316"/>
      <c r="H192" s="311"/>
      <c r="I192" s="312"/>
      <c r="J192" s="315"/>
      <c r="K192" s="313"/>
      <c r="L192" s="311"/>
      <c r="M192" s="312"/>
      <c r="N192" s="315"/>
      <c r="O192" s="307"/>
    </row>
    <row r="193" spans="1:15" s="112" customFormat="1">
      <c r="A193" s="95"/>
      <c r="B193" s="308"/>
      <c r="C193" s="308"/>
      <c r="D193" s="310"/>
      <c r="E193" s="113" t="str">
        <f>IFERROR(INDEX(Listen!$B$1:$B$38,MATCH(B193,Listen!$A$1:$A$38,0),1),"")</f>
        <v/>
      </c>
      <c r="F193" s="311"/>
      <c r="G193" s="316"/>
      <c r="H193" s="311"/>
      <c r="I193" s="312"/>
      <c r="J193" s="315"/>
      <c r="K193" s="313"/>
      <c r="L193" s="311"/>
      <c r="M193" s="312"/>
      <c r="N193" s="315"/>
      <c r="O193" s="307"/>
    </row>
    <row r="194" spans="1:15" s="112" customFormat="1">
      <c r="A194" s="95"/>
      <c r="B194" s="308"/>
      <c r="C194" s="308"/>
      <c r="D194" s="310"/>
      <c r="E194" s="113" t="str">
        <f>IFERROR(INDEX(Listen!$B$1:$B$38,MATCH(B194,Listen!$A$1:$A$38,0),1),"")</f>
        <v/>
      </c>
      <c r="F194" s="311"/>
      <c r="G194" s="316"/>
      <c r="H194" s="311"/>
      <c r="I194" s="312"/>
      <c r="J194" s="315"/>
      <c r="K194" s="313"/>
      <c r="L194" s="311"/>
      <c r="M194" s="312"/>
      <c r="N194" s="315"/>
      <c r="O194" s="307"/>
    </row>
    <row r="195" spans="1:15" s="112" customFormat="1">
      <c r="A195" s="95"/>
      <c r="B195" s="308"/>
      <c r="C195" s="308"/>
      <c r="D195" s="310"/>
      <c r="E195" s="113" t="str">
        <f>IFERROR(INDEX(Listen!$B$1:$B$38,MATCH(B195,Listen!$A$1:$A$38,0),1),"")</f>
        <v/>
      </c>
      <c r="F195" s="311"/>
      <c r="G195" s="316"/>
      <c r="H195" s="311"/>
      <c r="I195" s="312"/>
      <c r="J195" s="315"/>
      <c r="K195" s="313"/>
      <c r="L195" s="311"/>
      <c r="M195" s="312"/>
      <c r="N195" s="315"/>
      <c r="O195" s="307"/>
    </row>
    <row r="196" spans="1:15" s="112" customFormat="1">
      <c r="A196" s="95"/>
      <c r="B196" s="308"/>
      <c r="C196" s="308"/>
      <c r="D196" s="310"/>
      <c r="E196" s="113" t="str">
        <f>IFERROR(INDEX(Listen!$B$1:$B$38,MATCH(B196,Listen!$A$1:$A$38,0),1),"")</f>
        <v/>
      </c>
      <c r="F196" s="311"/>
      <c r="G196" s="316"/>
      <c r="H196" s="311"/>
      <c r="I196" s="312"/>
      <c r="J196" s="315"/>
      <c r="K196" s="313"/>
      <c r="L196" s="311"/>
      <c r="M196" s="312"/>
      <c r="N196" s="315"/>
      <c r="O196" s="307"/>
    </row>
    <row r="197" spans="1:15" s="112" customFormat="1">
      <c r="A197" s="95"/>
      <c r="B197" s="308"/>
      <c r="C197" s="308"/>
      <c r="D197" s="310"/>
      <c r="E197" s="113" t="str">
        <f>IFERROR(INDEX(Listen!$B$1:$B$38,MATCH(B197,Listen!$A$1:$A$38,0),1),"")</f>
        <v/>
      </c>
      <c r="F197" s="311"/>
      <c r="G197" s="316"/>
      <c r="H197" s="311"/>
      <c r="I197" s="312"/>
      <c r="J197" s="315"/>
      <c r="K197" s="313"/>
      <c r="L197" s="311"/>
      <c r="M197" s="312"/>
      <c r="N197" s="315"/>
      <c r="O197" s="307"/>
    </row>
    <row r="198" spans="1:15" s="112" customFormat="1">
      <c r="A198" s="95"/>
      <c r="B198" s="308"/>
      <c r="C198" s="308"/>
      <c r="D198" s="310"/>
      <c r="E198" s="113" t="str">
        <f>IFERROR(INDEX(Listen!$B$1:$B$38,MATCH(B198,Listen!$A$1:$A$38,0),1),"")</f>
        <v/>
      </c>
      <c r="F198" s="311"/>
      <c r="G198" s="316"/>
      <c r="H198" s="311"/>
      <c r="I198" s="312"/>
      <c r="J198" s="315"/>
      <c r="K198" s="313"/>
      <c r="L198" s="311"/>
      <c r="M198" s="312"/>
      <c r="N198" s="315"/>
      <c r="O198" s="307"/>
    </row>
    <row r="199" spans="1:15" s="112" customFormat="1">
      <c r="A199" s="95"/>
      <c r="B199" s="308"/>
      <c r="C199" s="308"/>
      <c r="D199" s="310"/>
      <c r="E199" s="113" t="str">
        <f>IFERROR(INDEX(Listen!$B$1:$B$38,MATCH(B199,Listen!$A$1:$A$38,0),1),"")</f>
        <v/>
      </c>
      <c r="F199" s="311"/>
      <c r="G199" s="316"/>
      <c r="H199" s="311"/>
      <c r="I199" s="312"/>
      <c r="J199" s="315"/>
      <c r="K199" s="313"/>
      <c r="L199" s="311"/>
      <c r="M199" s="312"/>
      <c r="N199" s="315"/>
      <c r="O199" s="307"/>
    </row>
    <row r="200" spans="1:15" s="112" customFormat="1">
      <c r="A200" s="95"/>
      <c r="B200" s="308"/>
      <c r="C200" s="308"/>
      <c r="D200" s="310"/>
      <c r="E200" s="113" t="str">
        <f>IFERROR(INDEX(Listen!$B$1:$B$38,MATCH(B200,Listen!$A$1:$A$38,0),1),"")</f>
        <v/>
      </c>
      <c r="F200" s="311"/>
      <c r="G200" s="316"/>
      <c r="H200" s="311"/>
      <c r="I200" s="312"/>
      <c r="J200" s="315"/>
      <c r="K200" s="313"/>
      <c r="L200" s="311"/>
      <c r="M200" s="312"/>
      <c r="N200" s="315"/>
      <c r="O200" s="307"/>
    </row>
    <row r="201" spans="1:15" s="112" customFormat="1">
      <c r="A201" s="95"/>
      <c r="B201" s="308"/>
      <c r="C201" s="308"/>
      <c r="D201" s="310"/>
      <c r="E201" s="113" t="str">
        <f>IFERROR(INDEX(Listen!$B$1:$B$38,MATCH(B201,Listen!$A$1:$A$38,0),1),"")</f>
        <v/>
      </c>
      <c r="F201" s="311"/>
      <c r="G201" s="316"/>
      <c r="H201" s="311"/>
      <c r="I201" s="312"/>
      <c r="J201" s="315"/>
      <c r="K201" s="313"/>
      <c r="L201" s="311"/>
      <c r="M201" s="312"/>
      <c r="N201" s="315"/>
      <c r="O201" s="307"/>
    </row>
    <row r="202" spans="1:15" s="112" customFormat="1">
      <c r="A202" s="95"/>
      <c r="B202" s="308"/>
      <c r="C202" s="308"/>
      <c r="D202" s="310"/>
      <c r="E202" s="113" t="str">
        <f>IFERROR(INDEX(Listen!$B$1:$B$38,MATCH(B202,Listen!$A$1:$A$38,0),1),"")</f>
        <v/>
      </c>
      <c r="F202" s="311"/>
      <c r="G202" s="316"/>
      <c r="H202" s="311"/>
      <c r="I202" s="312"/>
      <c r="J202" s="315"/>
      <c r="K202" s="313"/>
      <c r="L202" s="311"/>
      <c r="M202" s="312"/>
      <c r="N202" s="315"/>
      <c r="O202" s="307"/>
    </row>
    <row r="203" spans="1:15" s="112" customFormat="1">
      <c r="A203" s="95"/>
      <c r="B203" s="308"/>
      <c r="C203" s="308"/>
      <c r="D203" s="310"/>
      <c r="E203" s="113" t="str">
        <f>IFERROR(INDEX(Listen!$B$1:$B$38,MATCH(B203,Listen!$A$1:$A$38,0),1),"")</f>
        <v/>
      </c>
      <c r="F203" s="311"/>
      <c r="G203" s="316"/>
      <c r="H203" s="311"/>
      <c r="I203" s="312"/>
      <c r="J203" s="315"/>
      <c r="K203" s="313"/>
      <c r="L203" s="311"/>
      <c r="M203" s="312"/>
      <c r="N203" s="315"/>
      <c r="O203" s="307"/>
    </row>
    <row r="204" spans="1:15" s="112" customFormat="1">
      <c r="A204" s="95"/>
      <c r="B204" s="308"/>
      <c r="C204" s="308"/>
      <c r="D204" s="310"/>
      <c r="E204" s="113" t="str">
        <f>IFERROR(INDEX(Listen!$B$1:$B$38,MATCH(B204,Listen!$A$1:$A$38,0),1),"")</f>
        <v/>
      </c>
      <c r="F204" s="311"/>
      <c r="G204" s="316"/>
      <c r="H204" s="311"/>
      <c r="I204" s="312"/>
      <c r="J204" s="315"/>
      <c r="K204" s="313"/>
      <c r="L204" s="311"/>
      <c r="M204" s="312"/>
      <c r="N204" s="315"/>
      <c r="O204" s="307"/>
    </row>
    <row r="205" spans="1:15" s="112" customFormat="1">
      <c r="A205" s="95"/>
      <c r="B205" s="308"/>
      <c r="C205" s="308"/>
      <c r="D205" s="310"/>
      <c r="E205" s="113" t="str">
        <f>IFERROR(INDEX(Listen!$B$1:$B$38,MATCH(B205,Listen!$A$1:$A$38,0),1),"")</f>
        <v/>
      </c>
      <c r="F205" s="311"/>
      <c r="G205" s="316"/>
      <c r="H205" s="311"/>
      <c r="I205" s="312"/>
      <c r="J205" s="315"/>
      <c r="K205" s="313"/>
      <c r="L205" s="311"/>
      <c r="M205" s="312"/>
      <c r="N205" s="315"/>
      <c r="O205" s="307"/>
    </row>
    <row r="206" spans="1:15" s="112" customFormat="1">
      <c r="A206" s="95"/>
      <c r="B206" s="308"/>
      <c r="C206" s="308"/>
      <c r="D206" s="310"/>
      <c r="E206" s="113" t="str">
        <f>IFERROR(INDEX(Listen!$B$1:$B$38,MATCH(B206,Listen!$A$1:$A$38,0),1),"")</f>
        <v/>
      </c>
      <c r="F206" s="311"/>
      <c r="G206" s="316"/>
      <c r="H206" s="311"/>
      <c r="I206" s="312"/>
      <c r="J206" s="315"/>
      <c r="K206" s="313"/>
      <c r="L206" s="311"/>
      <c r="M206" s="312"/>
      <c r="N206" s="315"/>
      <c r="O206" s="307"/>
    </row>
    <row r="207" spans="1:15" s="112" customFormat="1">
      <c r="A207" s="95"/>
      <c r="B207" s="308"/>
      <c r="C207" s="308"/>
      <c r="D207" s="310"/>
      <c r="E207" s="113" t="str">
        <f>IFERROR(INDEX(Listen!$B$1:$B$38,MATCH(B207,Listen!$A$1:$A$38,0),1),"")</f>
        <v/>
      </c>
      <c r="F207" s="311"/>
      <c r="G207" s="316"/>
      <c r="H207" s="311"/>
      <c r="I207" s="312"/>
      <c r="J207" s="315"/>
      <c r="K207" s="313"/>
      <c r="L207" s="311"/>
      <c r="M207" s="312"/>
      <c r="N207" s="315"/>
      <c r="O207" s="307"/>
    </row>
    <row r="208" spans="1:15" s="112" customFormat="1">
      <c r="A208" s="95"/>
      <c r="B208" s="308"/>
      <c r="C208" s="308"/>
      <c r="D208" s="310"/>
      <c r="E208" s="113" t="str">
        <f>IFERROR(INDEX(Listen!$B$1:$B$38,MATCH(B208,Listen!$A$1:$A$38,0),1),"")</f>
        <v/>
      </c>
      <c r="F208" s="311"/>
      <c r="G208" s="316"/>
      <c r="H208" s="311"/>
      <c r="I208" s="312"/>
      <c r="J208" s="315"/>
      <c r="K208" s="313"/>
      <c r="L208" s="311"/>
      <c r="M208" s="312"/>
      <c r="N208" s="315"/>
      <c r="O208" s="307"/>
    </row>
    <row r="209" spans="1:15" s="112" customFormat="1">
      <c r="A209" s="95"/>
      <c r="B209" s="308"/>
      <c r="C209" s="308"/>
      <c r="D209" s="310"/>
      <c r="E209" s="113" t="str">
        <f>IFERROR(INDEX(Listen!$B$1:$B$38,MATCH(B209,Listen!$A$1:$A$38,0),1),"")</f>
        <v/>
      </c>
      <c r="F209" s="311"/>
      <c r="G209" s="316"/>
      <c r="H209" s="311"/>
      <c r="I209" s="312"/>
      <c r="J209" s="315"/>
      <c r="K209" s="313"/>
      <c r="L209" s="311"/>
      <c r="M209" s="312"/>
      <c r="N209" s="315"/>
      <c r="O209" s="307"/>
    </row>
    <row r="210" spans="1:15" s="112" customFormat="1">
      <c r="A210" s="95"/>
      <c r="B210" s="308"/>
      <c r="C210" s="308"/>
      <c r="D210" s="310"/>
      <c r="E210" s="113" t="str">
        <f>IFERROR(INDEX(Listen!$B$1:$B$38,MATCH(B210,Listen!$A$1:$A$38,0),1),"")</f>
        <v/>
      </c>
      <c r="F210" s="311"/>
      <c r="G210" s="316"/>
      <c r="H210" s="311"/>
      <c r="I210" s="312"/>
      <c r="J210" s="315"/>
      <c r="K210" s="313"/>
      <c r="L210" s="311"/>
      <c r="M210" s="312"/>
      <c r="N210" s="315"/>
      <c r="O210" s="307"/>
    </row>
    <row r="211" spans="1:15" s="112" customFormat="1">
      <c r="A211" s="95"/>
      <c r="B211" s="308"/>
      <c r="C211" s="308"/>
      <c r="D211" s="310"/>
      <c r="E211" s="113" t="str">
        <f>IFERROR(INDEX(Listen!$B$1:$B$38,MATCH(B211,Listen!$A$1:$A$38,0),1),"")</f>
        <v/>
      </c>
      <c r="F211" s="311"/>
      <c r="G211" s="316"/>
      <c r="H211" s="311"/>
      <c r="I211" s="312"/>
      <c r="J211" s="315"/>
      <c r="K211" s="313"/>
      <c r="L211" s="311"/>
      <c r="M211" s="312"/>
      <c r="N211" s="315"/>
      <c r="O211" s="307"/>
    </row>
    <row r="212" spans="1:15" s="112" customFormat="1">
      <c r="A212" s="95"/>
      <c r="B212" s="308"/>
      <c r="C212" s="308"/>
      <c r="D212" s="310"/>
      <c r="E212" s="113" t="str">
        <f>IFERROR(INDEX(Listen!$B$1:$B$38,MATCH(B212,Listen!$A$1:$A$38,0),1),"")</f>
        <v/>
      </c>
      <c r="F212" s="311"/>
      <c r="G212" s="316"/>
      <c r="H212" s="311"/>
      <c r="I212" s="312"/>
      <c r="J212" s="315"/>
      <c r="K212" s="313"/>
      <c r="L212" s="311"/>
      <c r="M212" s="312"/>
      <c r="N212" s="315"/>
      <c r="O212" s="307"/>
    </row>
    <row r="213" spans="1:15" s="112" customFormat="1">
      <c r="A213" s="95"/>
      <c r="B213" s="308"/>
      <c r="C213" s="308"/>
      <c r="D213" s="310"/>
      <c r="E213" s="113" t="str">
        <f>IFERROR(INDEX(Listen!$B$1:$B$38,MATCH(B213,Listen!$A$1:$A$38,0),1),"")</f>
        <v/>
      </c>
      <c r="F213" s="311"/>
      <c r="G213" s="316"/>
      <c r="H213" s="311"/>
      <c r="I213" s="312"/>
      <c r="J213" s="315"/>
      <c r="K213" s="313"/>
      <c r="L213" s="311"/>
      <c r="M213" s="312"/>
      <c r="N213" s="315"/>
      <c r="O213" s="307"/>
    </row>
    <row r="214" spans="1:15" s="112" customFormat="1">
      <c r="A214" s="95"/>
      <c r="B214" s="308"/>
      <c r="C214" s="308"/>
      <c r="D214" s="310"/>
      <c r="E214" s="113" t="str">
        <f>IFERROR(INDEX(Listen!$B$1:$B$38,MATCH(B214,Listen!$A$1:$A$38,0),1),"")</f>
        <v/>
      </c>
      <c r="F214" s="311"/>
      <c r="G214" s="316"/>
      <c r="H214" s="311"/>
      <c r="I214" s="312"/>
      <c r="J214" s="315"/>
      <c r="K214" s="313"/>
      <c r="L214" s="311"/>
      <c r="M214" s="312"/>
      <c r="N214" s="315"/>
      <c r="O214" s="307"/>
    </row>
    <row r="215" spans="1:15" s="112" customFormat="1">
      <c r="A215" s="95"/>
      <c r="B215" s="308"/>
      <c r="C215" s="308"/>
      <c r="D215" s="310"/>
      <c r="E215" s="113" t="str">
        <f>IFERROR(INDEX(Listen!$B$1:$B$38,MATCH(B215,Listen!$A$1:$A$38,0),1),"")</f>
        <v/>
      </c>
      <c r="F215" s="311"/>
      <c r="G215" s="316"/>
      <c r="H215" s="311"/>
      <c r="I215" s="312"/>
      <c r="J215" s="315"/>
      <c r="K215" s="313"/>
      <c r="L215" s="311"/>
      <c r="M215" s="312"/>
      <c r="N215" s="315"/>
      <c r="O215" s="307"/>
    </row>
    <row r="216" spans="1:15" s="112" customFormat="1">
      <c r="A216" s="95"/>
      <c r="B216" s="308"/>
      <c r="C216" s="308"/>
      <c r="D216" s="310"/>
      <c r="E216" s="113" t="str">
        <f>IFERROR(INDEX(Listen!$B$1:$B$38,MATCH(B216,Listen!$A$1:$A$38,0),1),"")</f>
        <v/>
      </c>
      <c r="F216" s="311"/>
      <c r="G216" s="316"/>
      <c r="H216" s="311"/>
      <c r="I216" s="312"/>
      <c r="J216" s="315"/>
      <c r="K216" s="313"/>
      <c r="L216" s="311"/>
      <c r="M216" s="312"/>
      <c r="N216" s="315"/>
      <c r="O216" s="307"/>
    </row>
    <row r="217" spans="1:15" s="112" customFormat="1">
      <c r="A217" s="95"/>
      <c r="B217" s="308"/>
      <c r="C217" s="308"/>
      <c r="D217" s="310"/>
      <c r="E217" s="113" t="str">
        <f>IFERROR(INDEX(Listen!$B$1:$B$38,MATCH(B217,Listen!$A$1:$A$38,0),1),"")</f>
        <v/>
      </c>
      <c r="F217" s="311"/>
      <c r="G217" s="316"/>
      <c r="H217" s="311"/>
      <c r="I217" s="312"/>
      <c r="J217" s="315"/>
      <c r="K217" s="313"/>
      <c r="L217" s="311"/>
      <c r="M217" s="312"/>
      <c r="N217" s="315"/>
      <c r="O217" s="307"/>
    </row>
    <row r="218" spans="1:15" s="112" customFormat="1">
      <c r="A218" s="95"/>
      <c r="B218" s="308"/>
      <c r="C218" s="308"/>
      <c r="D218" s="310"/>
      <c r="E218" s="113" t="str">
        <f>IFERROR(INDEX(Listen!$B$1:$B$38,MATCH(B218,Listen!$A$1:$A$38,0),1),"")</f>
        <v/>
      </c>
      <c r="F218" s="311"/>
      <c r="G218" s="316"/>
      <c r="H218" s="311"/>
      <c r="I218" s="312"/>
      <c r="J218" s="315"/>
      <c r="K218" s="313"/>
      <c r="L218" s="311"/>
      <c r="M218" s="312"/>
      <c r="N218" s="315"/>
      <c r="O218" s="307"/>
    </row>
    <row r="219" spans="1:15" s="112" customFormat="1">
      <c r="A219" s="95"/>
      <c r="B219" s="308"/>
      <c r="C219" s="308"/>
      <c r="D219" s="310"/>
      <c r="E219" s="113" t="str">
        <f>IFERROR(INDEX(Listen!$B$1:$B$38,MATCH(B219,Listen!$A$1:$A$38,0),1),"")</f>
        <v/>
      </c>
      <c r="F219" s="311"/>
      <c r="G219" s="316"/>
      <c r="H219" s="311"/>
      <c r="I219" s="312"/>
      <c r="J219" s="315"/>
      <c r="K219" s="313"/>
      <c r="L219" s="311"/>
      <c r="M219" s="312"/>
      <c r="N219" s="315"/>
      <c r="O219" s="307"/>
    </row>
    <row r="220" spans="1:15" s="112" customFormat="1">
      <c r="A220" s="95"/>
      <c r="B220" s="308"/>
      <c r="C220" s="308"/>
      <c r="D220" s="310"/>
      <c r="E220" s="113" t="str">
        <f>IFERROR(INDEX(Listen!$B$1:$B$38,MATCH(B220,Listen!$A$1:$A$38,0),1),"")</f>
        <v/>
      </c>
      <c r="F220" s="311"/>
      <c r="G220" s="316"/>
      <c r="H220" s="311"/>
      <c r="I220" s="312"/>
      <c r="J220" s="315"/>
      <c r="K220" s="313"/>
      <c r="L220" s="311"/>
      <c r="M220" s="312"/>
      <c r="N220" s="315"/>
      <c r="O220" s="307"/>
    </row>
    <row r="221" spans="1:15" s="112" customFormat="1">
      <c r="A221" s="95"/>
      <c r="B221" s="308"/>
      <c r="C221" s="308"/>
      <c r="D221" s="310"/>
      <c r="E221" s="113" t="str">
        <f>IFERROR(INDEX(Listen!$B$1:$B$38,MATCH(B221,Listen!$A$1:$A$38,0),1),"")</f>
        <v/>
      </c>
      <c r="F221" s="311"/>
      <c r="G221" s="316"/>
      <c r="H221" s="311"/>
      <c r="I221" s="312"/>
      <c r="J221" s="315"/>
      <c r="K221" s="313"/>
      <c r="L221" s="311"/>
      <c r="M221" s="312"/>
      <c r="N221" s="315"/>
      <c r="O221" s="307"/>
    </row>
    <row r="222" spans="1:15" s="112" customFormat="1">
      <c r="A222" s="95"/>
      <c r="B222" s="308"/>
      <c r="C222" s="308"/>
      <c r="D222" s="310"/>
      <c r="E222" s="113" t="str">
        <f>IFERROR(INDEX(Listen!$B$1:$B$38,MATCH(B222,Listen!$A$1:$A$38,0),1),"")</f>
        <v/>
      </c>
      <c r="F222" s="311"/>
      <c r="G222" s="316"/>
      <c r="H222" s="311"/>
      <c r="I222" s="312"/>
      <c r="J222" s="315"/>
      <c r="K222" s="313"/>
      <c r="L222" s="311"/>
      <c r="M222" s="312"/>
      <c r="N222" s="315"/>
      <c r="O222" s="307"/>
    </row>
    <row r="223" spans="1:15" s="112" customFormat="1">
      <c r="A223" s="95"/>
      <c r="B223" s="308"/>
      <c r="C223" s="308"/>
      <c r="D223" s="310"/>
      <c r="E223" s="113" t="str">
        <f>IFERROR(INDEX(Listen!$B$1:$B$38,MATCH(B223,Listen!$A$1:$A$38,0),1),"")</f>
        <v/>
      </c>
      <c r="F223" s="311"/>
      <c r="G223" s="316"/>
      <c r="H223" s="311"/>
      <c r="I223" s="312"/>
      <c r="J223" s="315"/>
      <c r="K223" s="313"/>
      <c r="L223" s="311"/>
      <c r="M223" s="312"/>
      <c r="N223" s="315"/>
      <c r="O223" s="307"/>
    </row>
    <row r="224" spans="1:15" s="112" customFormat="1">
      <c r="A224" s="95"/>
      <c r="B224" s="308"/>
      <c r="C224" s="308"/>
      <c r="D224" s="310"/>
      <c r="E224" s="113" t="str">
        <f>IFERROR(INDEX(Listen!$B$1:$B$38,MATCH(B224,Listen!$A$1:$A$38,0),1),"")</f>
        <v/>
      </c>
      <c r="F224" s="311"/>
      <c r="G224" s="316"/>
      <c r="H224" s="311"/>
      <c r="I224" s="312"/>
      <c r="J224" s="315"/>
      <c r="K224" s="313"/>
      <c r="L224" s="311"/>
      <c r="M224" s="312"/>
      <c r="N224" s="315"/>
      <c r="O224" s="307"/>
    </row>
    <row r="225" spans="1:15" s="112" customFormat="1">
      <c r="A225" s="95"/>
      <c r="B225" s="308"/>
      <c r="C225" s="308"/>
      <c r="D225" s="310"/>
      <c r="E225" s="113" t="str">
        <f>IFERROR(INDEX(Listen!$B$1:$B$38,MATCH(B225,Listen!$A$1:$A$38,0),1),"")</f>
        <v/>
      </c>
      <c r="F225" s="311"/>
      <c r="G225" s="316"/>
      <c r="H225" s="311"/>
      <c r="I225" s="312"/>
      <c r="J225" s="315"/>
      <c r="K225" s="313"/>
      <c r="L225" s="311"/>
      <c r="M225" s="312"/>
      <c r="N225" s="315"/>
      <c r="O225" s="307"/>
    </row>
    <row r="226" spans="1:15" s="112" customFormat="1">
      <c r="A226" s="95"/>
      <c r="B226" s="308"/>
      <c r="C226" s="308"/>
      <c r="D226" s="310"/>
      <c r="E226" s="113" t="str">
        <f>IFERROR(INDEX(Listen!$B$1:$B$38,MATCH(B226,Listen!$A$1:$A$38,0),1),"")</f>
        <v/>
      </c>
      <c r="F226" s="311"/>
      <c r="G226" s="316"/>
      <c r="H226" s="311"/>
      <c r="I226" s="312"/>
      <c r="J226" s="315"/>
      <c r="K226" s="313"/>
      <c r="L226" s="311"/>
      <c r="M226" s="312"/>
      <c r="N226" s="315"/>
      <c r="O226" s="307"/>
    </row>
    <row r="227" spans="1:15" s="112" customFormat="1">
      <c r="A227" s="95"/>
      <c r="B227" s="308"/>
      <c r="C227" s="308"/>
      <c r="D227" s="310"/>
      <c r="E227" s="113" t="str">
        <f>IFERROR(INDEX(Listen!$B$1:$B$38,MATCH(B227,Listen!$A$1:$A$38,0),1),"")</f>
        <v/>
      </c>
      <c r="F227" s="311"/>
      <c r="G227" s="316"/>
      <c r="H227" s="311"/>
      <c r="I227" s="312"/>
      <c r="J227" s="315"/>
      <c r="K227" s="313"/>
      <c r="L227" s="311"/>
      <c r="M227" s="312"/>
      <c r="N227" s="315"/>
      <c r="O227" s="307"/>
    </row>
    <row r="228" spans="1:15" s="112" customFormat="1">
      <c r="A228" s="95"/>
      <c r="B228" s="308"/>
      <c r="C228" s="308"/>
      <c r="D228" s="310"/>
      <c r="E228" s="113" t="str">
        <f>IFERROR(INDEX(Listen!$B$1:$B$38,MATCH(B228,Listen!$A$1:$A$38,0),1),"")</f>
        <v/>
      </c>
      <c r="F228" s="311"/>
      <c r="G228" s="316"/>
      <c r="H228" s="311"/>
      <c r="I228" s="312"/>
      <c r="J228" s="315"/>
      <c r="K228" s="313"/>
      <c r="L228" s="311"/>
      <c r="M228" s="312"/>
      <c r="N228" s="315"/>
      <c r="O228" s="307"/>
    </row>
    <row r="229" spans="1:15" s="112" customFormat="1">
      <c r="A229" s="95"/>
      <c r="B229" s="308"/>
      <c r="C229" s="308"/>
      <c r="D229" s="310"/>
      <c r="E229" s="113" t="str">
        <f>IFERROR(INDEX(Listen!$B$1:$B$38,MATCH(B229,Listen!$A$1:$A$38,0),1),"")</f>
        <v/>
      </c>
      <c r="F229" s="311"/>
      <c r="G229" s="316"/>
      <c r="H229" s="311"/>
      <c r="I229" s="312"/>
      <c r="J229" s="315"/>
      <c r="K229" s="313"/>
      <c r="L229" s="311"/>
      <c r="M229" s="312"/>
      <c r="N229" s="315"/>
      <c r="O229" s="307"/>
    </row>
    <row r="230" spans="1:15" s="112" customFormat="1">
      <c r="A230" s="95"/>
      <c r="B230" s="308"/>
      <c r="C230" s="308"/>
      <c r="D230" s="310"/>
      <c r="E230" s="113" t="str">
        <f>IFERROR(INDEX(Listen!$B$1:$B$38,MATCH(B230,Listen!$A$1:$A$38,0),1),"")</f>
        <v/>
      </c>
      <c r="F230" s="311"/>
      <c r="G230" s="316"/>
      <c r="H230" s="311"/>
      <c r="I230" s="312"/>
      <c r="J230" s="315"/>
      <c r="K230" s="313"/>
      <c r="L230" s="311"/>
      <c r="M230" s="312"/>
      <c r="N230" s="315"/>
      <c r="O230" s="307"/>
    </row>
    <row r="231" spans="1:15" s="112" customFormat="1">
      <c r="A231" s="95"/>
      <c r="B231" s="308"/>
      <c r="C231" s="308"/>
      <c r="D231" s="310"/>
      <c r="E231" s="113" t="str">
        <f>IFERROR(INDEX(Listen!$B$1:$B$38,MATCH(B231,Listen!$A$1:$A$38,0),1),"")</f>
        <v/>
      </c>
      <c r="F231" s="311"/>
      <c r="G231" s="316"/>
      <c r="H231" s="311"/>
      <c r="I231" s="312"/>
      <c r="J231" s="315"/>
      <c r="K231" s="313"/>
      <c r="L231" s="311"/>
      <c r="M231" s="312"/>
      <c r="N231" s="315"/>
      <c r="O231" s="307"/>
    </row>
    <row r="232" spans="1:15" s="112" customFormat="1">
      <c r="A232" s="95"/>
      <c r="B232" s="308"/>
      <c r="C232" s="308"/>
      <c r="D232" s="310"/>
      <c r="E232" s="113" t="str">
        <f>IFERROR(INDEX(Listen!$B$1:$B$38,MATCH(B232,Listen!$A$1:$A$38,0),1),"")</f>
        <v/>
      </c>
      <c r="F232" s="311"/>
      <c r="G232" s="316"/>
      <c r="H232" s="311"/>
      <c r="I232" s="312"/>
      <c r="J232" s="315"/>
      <c r="K232" s="313"/>
      <c r="L232" s="311"/>
      <c r="M232" s="312"/>
      <c r="N232" s="315"/>
      <c r="O232" s="307"/>
    </row>
    <row r="233" spans="1:15" s="112" customFormat="1">
      <c r="A233" s="95"/>
      <c r="B233" s="308"/>
      <c r="C233" s="308"/>
      <c r="D233" s="310"/>
      <c r="E233" s="113" t="str">
        <f>IFERROR(INDEX(Listen!$B$1:$B$38,MATCH(B233,Listen!$A$1:$A$38,0),1),"")</f>
        <v/>
      </c>
      <c r="F233" s="311"/>
      <c r="G233" s="316"/>
      <c r="H233" s="311"/>
      <c r="I233" s="312"/>
      <c r="J233" s="315"/>
      <c r="K233" s="313"/>
      <c r="L233" s="311"/>
      <c r="M233" s="312"/>
      <c r="N233" s="315"/>
      <c r="O233" s="307"/>
    </row>
    <row r="234" spans="1:15" s="112" customFormat="1">
      <c r="A234" s="95"/>
      <c r="B234" s="308"/>
      <c r="C234" s="308"/>
      <c r="D234" s="310"/>
      <c r="E234" s="113" t="str">
        <f>IFERROR(INDEX(Listen!$B$1:$B$38,MATCH(B234,Listen!$A$1:$A$38,0),1),"")</f>
        <v/>
      </c>
      <c r="F234" s="311"/>
      <c r="G234" s="316"/>
      <c r="H234" s="311"/>
      <c r="I234" s="312"/>
      <c r="J234" s="315"/>
      <c r="K234" s="313"/>
      <c r="L234" s="311"/>
      <c r="M234" s="312"/>
      <c r="N234" s="315"/>
      <c r="O234" s="307"/>
    </row>
    <row r="235" spans="1:15" s="112" customFormat="1">
      <c r="A235" s="95"/>
      <c r="B235" s="308"/>
      <c r="C235" s="308"/>
      <c r="D235" s="310"/>
      <c r="E235" s="113" t="str">
        <f>IFERROR(INDEX(Listen!$B$1:$B$38,MATCH(B235,Listen!$A$1:$A$38,0),1),"")</f>
        <v/>
      </c>
      <c r="F235" s="311"/>
      <c r="G235" s="316"/>
      <c r="H235" s="311"/>
      <c r="I235" s="312"/>
      <c r="J235" s="315"/>
      <c r="K235" s="313"/>
      <c r="L235" s="311"/>
      <c r="M235" s="312"/>
      <c r="N235" s="315"/>
      <c r="O235" s="307"/>
    </row>
    <row r="236" spans="1:15" s="112" customFormat="1">
      <c r="A236" s="95"/>
      <c r="B236" s="308"/>
      <c r="C236" s="308"/>
      <c r="D236" s="310"/>
      <c r="E236" s="113" t="str">
        <f>IFERROR(INDEX(Listen!$B$1:$B$38,MATCH(B236,Listen!$A$1:$A$38,0),1),"")</f>
        <v/>
      </c>
      <c r="F236" s="311"/>
      <c r="G236" s="316"/>
      <c r="H236" s="311"/>
      <c r="I236" s="312"/>
      <c r="J236" s="315"/>
      <c r="K236" s="313"/>
      <c r="L236" s="311"/>
      <c r="M236" s="312"/>
      <c r="N236" s="315"/>
      <c r="O236" s="307"/>
    </row>
    <row r="237" spans="1:15" s="112" customFormat="1">
      <c r="A237" s="95"/>
      <c r="B237" s="308"/>
      <c r="C237" s="308"/>
      <c r="D237" s="310"/>
      <c r="E237" s="113" t="str">
        <f>IFERROR(INDEX(Listen!$B$1:$B$38,MATCH(B237,Listen!$A$1:$A$38,0),1),"")</f>
        <v/>
      </c>
      <c r="F237" s="311"/>
      <c r="G237" s="316"/>
      <c r="H237" s="311"/>
      <c r="I237" s="312"/>
      <c r="J237" s="315"/>
      <c r="K237" s="313"/>
      <c r="L237" s="311"/>
      <c r="M237" s="312"/>
      <c r="N237" s="315"/>
      <c r="O237" s="307"/>
    </row>
    <row r="238" spans="1:15" s="112" customFormat="1">
      <c r="A238" s="95"/>
      <c r="B238" s="308"/>
      <c r="C238" s="308"/>
      <c r="D238" s="310"/>
      <c r="E238" s="113" t="str">
        <f>IFERROR(INDEX(Listen!$B$1:$B$38,MATCH(B238,Listen!$A$1:$A$38,0),1),"")</f>
        <v/>
      </c>
      <c r="F238" s="311"/>
      <c r="G238" s="316"/>
      <c r="H238" s="311"/>
      <c r="I238" s="312"/>
      <c r="J238" s="315"/>
      <c r="K238" s="313"/>
      <c r="L238" s="311"/>
      <c r="M238" s="312"/>
      <c r="N238" s="315"/>
      <c r="O238" s="307"/>
    </row>
    <row r="239" spans="1:15" s="112" customFormat="1">
      <c r="A239" s="95"/>
      <c r="B239" s="308"/>
      <c r="C239" s="308"/>
      <c r="D239" s="310"/>
      <c r="E239" s="113" t="str">
        <f>IFERROR(INDEX(Listen!$B$1:$B$38,MATCH(B239,Listen!$A$1:$A$38,0),1),"")</f>
        <v/>
      </c>
      <c r="F239" s="311"/>
      <c r="G239" s="316"/>
      <c r="H239" s="311"/>
      <c r="I239" s="312"/>
      <c r="J239" s="315"/>
      <c r="K239" s="313"/>
      <c r="L239" s="311"/>
      <c r="M239" s="312"/>
      <c r="N239" s="315"/>
      <c r="O239" s="307"/>
    </row>
    <row r="240" spans="1:15" s="112" customFormat="1">
      <c r="A240" s="95"/>
      <c r="B240" s="308"/>
      <c r="C240" s="308"/>
      <c r="D240" s="310"/>
      <c r="E240" s="113" t="str">
        <f>IFERROR(INDEX(Listen!$B$1:$B$38,MATCH(B240,Listen!$A$1:$A$38,0),1),"")</f>
        <v/>
      </c>
      <c r="F240" s="311"/>
      <c r="G240" s="316"/>
      <c r="H240" s="311"/>
      <c r="I240" s="312"/>
      <c r="J240" s="315"/>
      <c r="K240" s="313"/>
      <c r="L240" s="311"/>
      <c r="M240" s="312"/>
      <c r="N240" s="315"/>
      <c r="O240" s="307"/>
    </row>
    <row r="241" spans="1:15" s="112" customFormat="1">
      <c r="A241" s="95"/>
      <c r="B241" s="308"/>
      <c r="C241" s="308"/>
      <c r="D241" s="310"/>
      <c r="E241" s="113" t="str">
        <f>IFERROR(INDEX(Listen!$B$1:$B$38,MATCH(B241,Listen!$A$1:$A$38,0),1),"")</f>
        <v/>
      </c>
      <c r="F241" s="311"/>
      <c r="G241" s="316"/>
      <c r="H241" s="311"/>
      <c r="I241" s="312"/>
      <c r="J241" s="315"/>
      <c r="K241" s="313"/>
      <c r="L241" s="311"/>
      <c r="M241" s="312"/>
      <c r="N241" s="315"/>
      <c r="O241" s="307"/>
    </row>
    <row r="242" spans="1:15" s="112" customFormat="1">
      <c r="A242" s="95"/>
      <c r="B242" s="308"/>
      <c r="C242" s="308"/>
      <c r="D242" s="310"/>
      <c r="E242" s="113" t="str">
        <f>IFERROR(INDEX(Listen!$B$1:$B$38,MATCH(B242,Listen!$A$1:$A$38,0),1),"")</f>
        <v/>
      </c>
      <c r="F242" s="311"/>
      <c r="G242" s="316"/>
      <c r="H242" s="311"/>
      <c r="I242" s="312"/>
      <c r="J242" s="315"/>
      <c r="K242" s="313"/>
      <c r="L242" s="311"/>
      <c r="M242" s="312"/>
      <c r="N242" s="315"/>
      <c r="O242" s="307"/>
    </row>
    <row r="243" spans="1:15" s="112" customFormat="1">
      <c r="A243" s="95"/>
      <c r="B243" s="308"/>
      <c r="C243" s="308"/>
      <c r="D243" s="310"/>
      <c r="E243" s="113" t="str">
        <f>IFERROR(INDEX(Listen!$B$1:$B$38,MATCH(B243,Listen!$A$1:$A$38,0),1),"")</f>
        <v/>
      </c>
      <c r="F243" s="311"/>
      <c r="G243" s="316"/>
      <c r="H243" s="311"/>
      <c r="I243" s="312"/>
      <c r="J243" s="315"/>
      <c r="K243" s="313"/>
      <c r="L243" s="311"/>
      <c r="M243" s="312"/>
      <c r="N243" s="315"/>
      <c r="O243" s="307"/>
    </row>
    <row r="244" spans="1:15" s="112" customFormat="1">
      <c r="A244" s="95"/>
      <c r="B244" s="308"/>
      <c r="C244" s="308"/>
      <c r="D244" s="310"/>
      <c r="E244" s="113" t="str">
        <f>IFERROR(INDEX(Listen!$B$1:$B$38,MATCH(B244,Listen!$A$1:$A$38,0),1),"")</f>
        <v/>
      </c>
      <c r="F244" s="311"/>
      <c r="G244" s="316"/>
      <c r="H244" s="311"/>
      <c r="I244" s="312"/>
      <c r="J244" s="315"/>
      <c r="K244" s="313"/>
      <c r="L244" s="311"/>
      <c r="M244" s="312"/>
      <c r="N244" s="315"/>
      <c r="O244" s="307"/>
    </row>
    <row r="245" spans="1:15" s="112" customFormat="1">
      <c r="A245" s="95"/>
      <c r="B245" s="308"/>
      <c r="C245" s="308"/>
      <c r="D245" s="310"/>
      <c r="E245" s="113" t="str">
        <f>IFERROR(INDEX(Listen!$B$1:$B$38,MATCH(B245,Listen!$A$1:$A$38,0),1),"")</f>
        <v/>
      </c>
      <c r="F245" s="311"/>
      <c r="G245" s="316"/>
      <c r="H245" s="311"/>
      <c r="I245" s="312"/>
      <c r="J245" s="315"/>
      <c r="K245" s="313"/>
      <c r="L245" s="311"/>
      <c r="M245" s="312"/>
      <c r="N245" s="315"/>
      <c r="O245" s="307"/>
    </row>
    <row r="246" spans="1:15" s="112" customFormat="1">
      <c r="A246" s="95"/>
      <c r="B246" s="308"/>
      <c r="C246" s="308"/>
      <c r="D246" s="310"/>
      <c r="E246" s="113" t="str">
        <f>IFERROR(INDEX(Listen!$B$1:$B$38,MATCH(B246,Listen!$A$1:$A$38,0),1),"")</f>
        <v/>
      </c>
      <c r="F246" s="311"/>
      <c r="G246" s="316"/>
      <c r="H246" s="311"/>
      <c r="I246" s="312"/>
      <c r="J246" s="315"/>
      <c r="K246" s="313"/>
      <c r="L246" s="311"/>
      <c r="M246" s="312"/>
      <c r="N246" s="315"/>
      <c r="O246" s="307"/>
    </row>
    <row r="247" spans="1:15" s="112" customFormat="1">
      <c r="A247" s="95"/>
      <c r="B247" s="308"/>
      <c r="C247" s="308"/>
      <c r="D247" s="310"/>
      <c r="E247" s="113" t="str">
        <f>IFERROR(INDEX(Listen!$B$1:$B$38,MATCH(B247,Listen!$A$1:$A$38,0),1),"")</f>
        <v/>
      </c>
      <c r="F247" s="311"/>
      <c r="G247" s="316"/>
      <c r="H247" s="311"/>
      <c r="I247" s="312"/>
      <c r="J247" s="315"/>
      <c r="K247" s="313"/>
      <c r="L247" s="311"/>
      <c r="M247" s="312"/>
      <c r="N247" s="315"/>
      <c r="O247" s="307"/>
    </row>
    <row r="248" spans="1:15" s="112" customFormat="1">
      <c r="A248" s="95"/>
      <c r="B248" s="308"/>
      <c r="C248" s="308"/>
      <c r="D248" s="310"/>
      <c r="E248" s="113" t="str">
        <f>IFERROR(INDEX(Listen!$B$1:$B$38,MATCH(B248,Listen!$A$1:$A$38,0),1),"")</f>
        <v/>
      </c>
      <c r="F248" s="311"/>
      <c r="G248" s="316"/>
      <c r="H248" s="311"/>
      <c r="I248" s="312"/>
      <c r="J248" s="315"/>
      <c r="K248" s="313"/>
      <c r="L248" s="311"/>
      <c r="M248" s="312"/>
      <c r="N248" s="315"/>
      <c r="O248" s="307"/>
    </row>
    <row r="249" spans="1:15" s="112" customFormat="1">
      <c r="A249" s="95"/>
      <c r="B249" s="308"/>
      <c r="C249" s="308"/>
      <c r="D249" s="310"/>
      <c r="E249" s="113" t="str">
        <f>IFERROR(INDEX(Listen!$B$1:$B$38,MATCH(B249,Listen!$A$1:$A$38,0),1),"")</f>
        <v/>
      </c>
      <c r="F249" s="311"/>
      <c r="G249" s="316"/>
      <c r="H249" s="311"/>
      <c r="I249" s="312"/>
      <c r="J249" s="315"/>
      <c r="K249" s="313"/>
      <c r="L249" s="311"/>
      <c r="M249" s="312"/>
      <c r="N249" s="315"/>
      <c r="O249" s="307"/>
    </row>
    <row r="250" spans="1:15" s="112" customFormat="1">
      <c r="A250" s="95"/>
      <c r="B250" s="308"/>
      <c r="C250" s="308"/>
      <c r="D250" s="310"/>
      <c r="E250" s="113" t="str">
        <f>IFERROR(INDEX(Listen!$B$1:$B$38,MATCH(B250,Listen!$A$1:$A$38,0),1),"")</f>
        <v/>
      </c>
      <c r="F250" s="311"/>
      <c r="G250" s="316"/>
      <c r="H250" s="311"/>
      <c r="I250" s="312"/>
      <c r="J250" s="315"/>
      <c r="K250" s="313"/>
      <c r="L250" s="311"/>
      <c r="M250" s="312"/>
      <c r="N250" s="315"/>
      <c r="O250" s="307"/>
    </row>
    <row r="251" spans="1:15" s="112" customFormat="1">
      <c r="A251" s="95"/>
      <c r="B251" s="308"/>
      <c r="C251" s="308"/>
      <c r="D251" s="310"/>
      <c r="E251" s="113" t="str">
        <f>IFERROR(INDEX(Listen!$B$1:$B$38,MATCH(B251,Listen!$A$1:$A$38,0),1),"")</f>
        <v/>
      </c>
      <c r="F251" s="311"/>
      <c r="G251" s="316"/>
      <c r="H251" s="311"/>
      <c r="I251" s="312"/>
      <c r="J251" s="315"/>
      <c r="K251" s="313"/>
      <c r="L251" s="311"/>
      <c r="M251" s="312"/>
      <c r="N251" s="315"/>
      <c r="O251" s="307"/>
    </row>
    <row r="252" spans="1:15" s="112" customFormat="1">
      <c r="A252" s="95"/>
      <c r="B252" s="308"/>
      <c r="C252" s="308"/>
      <c r="D252" s="310"/>
      <c r="E252" s="113" t="str">
        <f>IFERROR(INDEX(Listen!$B$1:$B$38,MATCH(B252,Listen!$A$1:$A$38,0),1),"")</f>
        <v/>
      </c>
      <c r="F252" s="312"/>
      <c r="G252" s="316"/>
      <c r="H252" s="311"/>
      <c r="I252" s="312"/>
      <c r="J252" s="315"/>
      <c r="K252" s="313"/>
      <c r="L252" s="311"/>
      <c r="M252" s="312"/>
      <c r="N252" s="315"/>
      <c r="O252" s="307"/>
    </row>
    <row r="253" spans="1:15" s="112" customFormat="1">
      <c r="A253" s="95"/>
      <c r="B253" s="308"/>
      <c r="C253" s="308"/>
      <c r="D253" s="310"/>
      <c r="E253" s="113" t="str">
        <f>IFERROR(INDEX(Listen!$B$1:$B$38,MATCH(B253,Listen!$A$1:$A$38,0),1),"")</f>
        <v/>
      </c>
      <c r="F253" s="312"/>
      <c r="G253" s="316"/>
      <c r="H253" s="311"/>
      <c r="I253" s="312"/>
      <c r="J253" s="315"/>
      <c r="K253" s="313"/>
      <c r="L253" s="311"/>
      <c r="M253" s="312"/>
      <c r="N253" s="315"/>
      <c r="O253" s="307"/>
    </row>
    <row r="254" spans="1:15">
      <c r="N254" s="94"/>
    </row>
    <row r="255" spans="1:15">
      <c r="F255" s="114"/>
      <c r="G255" s="115">
        <f>SUM(G16:G253)</f>
        <v>0</v>
      </c>
      <c r="J255" s="116">
        <f>SUM(J16:J253)</f>
        <v>0</v>
      </c>
      <c r="K255" s="115">
        <f>SUM(K16:K253)</f>
        <v>0</v>
      </c>
      <c r="N255" s="116">
        <f>SUM(N16:N169)</f>
        <v>0</v>
      </c>
    </row>
  </sheetData>
  <mergeCells count="3">
    <mergeCell ref="A2:H2"/>
    <mergeCell ref="G14:J14"/>
    <mergeCell ref="K14:N14"/>
  </mergeCells>
  <dataValidations count="1">
    <dataValidation type="decimal" allowBlank="1" showInputMessage="1" showErrorMessage="1" errorTitle="Falsche Eingabe!" error="Wert muss größer 0 und kleiner gleich 1 sein!" sqref="G170:G253" xr:uid="{00000000-0002-0000-0300-000000000000}">
      <formula1>0.01</formula1>
      <formula2>1</formula2>
    </dataValidation>
  </dataValidations>
  <pageMargins left="0.25" right="0.25" top="0.75" bottom="0.75" header="0.3" footer="0.3"/>
  <pageSetup paperSize="9" scale="53"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1000000}">
          <x14:formula1>
            <xm:f>Listen!$A$1:$A$39</xm:f>
          </x14:formula1>
          <xm:sqref>B16:B253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M52"/>
  <sheetViews>
    <sheetView zoomScaleNormal="100" workbookViewId="0"/>
  </sheetViews>
  <sheetFormatPr baseColWidth="10" defaultColWidth="10.875" defaultRowHeight="15.75"/>
  <cols>
    <col min="1" max="1" width="19.375" style="91" bestFit="1" customWidth="1"/>
    <col min="2" max="2" width="19.5" style="91" bestFit="1" customWidth="1"/>
    <col min="3" max="3" width="25.125" style="91" customWidth="1"/>
    <col min="4" max="4" width="16.5" style="91" customWidth="1"/>
    <col min="5" max="5" width="12.375" style="93" customWidth="1"/>
    <col min="6" max="6" width="13.625" style="91" bestFit="1" customWidth="1"/>
    <col min="7" max="7" width="14" style="91" customWidth="1"/>
    <col min="8" max="8" width="20.125" style="91" customWidth="1"/>
    <col min="9" max="9" width="11.5" style="91" bestFit="1" customWidth="1"/>
    <col min="10" max="10" width="8.875" style="92" bestFit="1" customWidth="1"/>
    <col min="11" max="11" width="5.5" style="112" bestFit="1" customWidth="1"/>
    <col min="12" max="12" width="15.75" style="112" bestFit="1" customWidth="1"/>
    <col min="13" max="13" width="32.625" style="112" bestFit="1" customWidth="1"/>
    <col min="14" max="16384" width="10.875" style="112"/>
  </cols>
  <sheetData>
    <row r="1" spans="1:13" ht="16.5" thickBot="1"/>
    <row r="2" spans="1:13" ht="33.950000000000003" customHeight="1" thickBot="1">
      <c r="A2" s="493" t="s">
        <v>250</v>
      </c>
      <c r="B2" s="479"/>
      <c r="C2" s="479"/>
      <c r="D2" s="479"/>
      <c r="E2" s="479"/>
      <c r="F2" s="479"/>
      <c r="G2" s="480"/>
      <c r="H2" s="117"/>
      <c r="I2" s="117"/>
      <c r="J2" s="117"/>
    </row>
    <row r="3" spans="1:13" ht="33.950000000000003" customHeight="1">
      <c r="A3" s="102"/>
      <c r="B3" s="99" t="s">
        <v>187</v>
      </c>
      <c r="C3" s="99" t="s">
        <v>183</v>
      </c>
      <c r="D3" s="99" t="s">
        <v>15</v>
      </c>
      <c r="E3" s="110" t="s">
        <v>182</v>
      </c>
      <c r="F3" s="99"/>
      <c r="G3" s="99"/>
      <c r="H3" s="117"/>
      <c r="I3" s="117"/>
      <c r="J3" s="117"/>
    </row>
    <row r="4" spans="1:13" ht="33.950000000000003" customHeight="1">
      <c r="A4" s="101" t="s">
        <v>264</v>
      </c>
      <c r="B4" s="319" t="e">
        <f>(H49-(C4*C5))/B5</f>
        <v>#DIV/0!</v>
      </c>
      <c r="C4" s="319" t="e">
        <f>SUMIF($C$15:$C$47,C3,$H$15:$H$47)/C5</f>
        <v>#DIV/0!</v>
      </c>
      <c r="D4" s="319" t="e">
        <f>(B4*B5)+(C4*C5)</f>
        <v>#DIV/0!</v>
      </c>
      <c r="E4" s="269">
        <f>H49</f>
        <v>0</v>
      </c>
      <c r="F4" s="118"/>
      <c r="G4" s="118"/>
      <c r="H4" s="117"/>
      <c r="I4" s="117"/>
      <c r="J4" s="117"/>
    </row>
    <row r="5" spans="1:13" ht="33.950000000000003" customHeight="1">
      <c r="A5" s="99" t="s">
        <v>181</v>
      </c>
      <c r="B5" s="320">
        <f>E49-C5</f>
        <v>0</v>
      </c>
      <c r="C5" s="320">
        <f>SUMIF(C15:C47,C3,E15:E47)</f>
        <v>0</v>
      </c>
      <c r="D5" s="320"/>
      <c r="E5" s="108"/>
      <c r="F5" s="108"/>
      <c r="G5" s="108"/>
      <c r="K5" s="92"/>
    </row>
    <row r="6" spans="1:13" ht="33.950000000000003" customHeight="1" thickBot="1">
      <c r="A6" s="270"/>
      <c r="B6" s="117"/>
      <c r="C6" s="117"/>
      <c r="D6" s="117"/>
      <c r="E6" s="117"/>
      <c r="F6" s="117"/>
      <c r="G6" s="117"/>
      <c r="K6" s="92"/>
    </row>
    <row r="7" spans="1:13" ht="33.950000000000003" customHeight="1" thickBot="1">
      <c r="A7" s="478" t="s">
        <v>178</v>
      </c>
      <c r="B7" s="479"/>
      <c r="C7" s="479"/>
      <c r="D7" s="479"/>
      <c r="E7" s="479"/>
      <c r="F7" s="479"/>
      <c r="G7" s="480"/>
      <c r="K7" s="92"/>
    </row>
    <row r="8" spans="1:13" ht="33.950000000000003" customHeight="1">
      <c r="A8" s="102"/>
      <c r="B8" s="99" t="s">
        <v>187</v>
      </c>
      <c r="C8" s="99" t="s">
        <v>183</v>
      </c>
      <c r="D8" s="99" t="s">
        <v>15</v>
      </c>
      <c r="E8" s="110" t="s">
        <v>182</v>
      </c>
      <c r="F8" s="99"/>
      <c r="G8" s="99"/>
      <c r="K8" s="92"/>
    </row>
    <row r="9" spans="1:13" ht="33.950000000000003" customHeight="1">
      <c r="A9" s="101" t="s">
        <v>264</v>
      </c>
      <c r="B9" s="319" t="e">
        <f>(L49-(C9*C10))/B10</f>
        <v>#DIV/0!</v>
      </c>
      <c r="C9" s="319" t="e">
        <f>SUMIF($C$15:$C$47,C8,$L$15:$L$47)/C10</f>
        <v>#DIV/0!</v>
      </c>
      <c r="D9" s="319" t="e">
        <f>(B9*B10)+(C9*C10)</f>
        <v>#DIV/0!</v>
      </c>
      <c r="E9" s="269">
        <f>L49</f>
        <v>0</v>
      </c>
      <c r="F9" s="118"/>
      <c r="G9" s="118"/>
      <c r="K9" s="92"/>
    </row>
    <row r="10" spans="1:13" ht="33.950000000000003" customHeight="1">
      <c r="A10" s="99" t="s">
        <v>181</v>
      </c>
      <c r="B10" s="320">
        <f>I49-C10</f>
        <v>0</v>
      </c>
      <c r="C10" s="320">
        <f>SUMIF(C15:C47,C8,I15:I47)</f>
        <v>0</v>
      </c>
      <c r="D10" s="320"/>
      <c r="E10" s="108"/>
      <c r="F10" s="108"/>
      <c r="G10" s="108"/>
      <c r="K10" s="92"/>
    </row>
    <row r="11" spans="1:13" ht="33.950000000000003" customHeight="1">
      <c r="A11" s="270"/>
      <c r="B11" s="117"/>
      <c r="C11" s="117"/>
      <c r="D11" s="117"/>
      <c r="E11" s="117"/>
      <c r="F11" s="117"/>
      <c r="G11" s="117"/>
      <c r="K11" s="92"/>
    </row>
    <row r="12" spans="1:13">
      <c r="A12" s="119"/>
      <c r="B12" s="117"/>
      <c r="C12" s="117"/>
      <c r="D12" s="117"/>
      <c r="E12" s="117"/>
      <c r="F12" s="117"/>
      <c r="G12" s="117"/>
      <c r="K12" s="92"/>
    </row>
    <row r="13" spans="1:13" ht="29.45" customHeight="1">
      <c r="A13" s="94"/>
      <c r="E13" s="491" t="s">
        <v>250</v>
      </c>
      <c r="F13" s="491"/>
      <c r="G13" s="491"/>
      <c r="H13" s="491"/>
      <c r="I13" s="492" t="s">
        <v>178</v>
      </c>
      <c r="J13" s="492"/>
      <c r="K13" s="492"/>
      <c r="L13" s="492"/>
      <c r="M13" s="107"/>
    </row>
    <row r="14" spans="1:13" ht="76.349999999999994" customHeight="1">
      <c r="A14" s="98" t="s">
        <v>57</v>
      </c>
      <c r="B14" s="98" t="s">
        <v>186</v>
      </c>
      <c r="C14" s="98" t="s">
        <v>176</v>
      </c>
      <c r="D14" s="98" t="s">
        <v>175</v>
      </c>
      <c r="E14" s="109" t="s">
        <v>174</v>
      </c>
      <c r="F14" s="109" t="s">
        <v>247</v>
      </c>
      <c r="G14" s="109" t="s">
        <v>248</v>
      </c>
      <c r="H14" s="317" t="s">
        <v>249</v>
      </c>
      <c r="I14" s="109" t="s">
        <v>174</v>
      </c>
      <c r="J14" s="109" t="s">
        <v>247</v>
      </c>
      <c r="K14" s="109" t="s">
        <v>248</v>
      </c>
      <c r="L14" s="318" t="s">
        <v>249</v>
      </c>
      <c r="M14" s="98" t="s">
        <v>170</v>
      </c>
    </row>
    <row r="15" spans="1:13">
      <c r="A15" s="95"/>
      <c r="B15" s="323"/>
      <c r="C15" s="323"/>
      <c r="D15" s="310"/>
      <c r="E15" s="316"/>
      <c r="F15" s="310"/>
      <c r="G15" s="310"/>
      <c r="H15" s="315"/>
      <c r="I15" s="316"/>
      <c r="J15" s="310"/>
      <c r="K15" s="310"/>
      <c r="L15" s="315"/>
      <c r="M15" s="324"/>
    </row>
    <row r="16" spans="1:13">
      <c r="A16" s="95"/>
      <c r="B16" s="323"/>
      <c r="C16" s="323"/>
      <c r="D16" s="310"/>
      <c r="E16" s="316"/>
      <c r="F16" s="310"/>
      <c r="G16" s="310"/>
      <c r="H16" s="315"/>
      <c r="I16" s="316"/>
      <c r="J16" s="310"/>
      <c r="K16" s="310"/>
      <c r="L16" s="315"/>
      <c r="M16" s="324"/>
    </row>
    <row r="17" spans="1:13">
      <c r="A17" s="95"/>
      <c r="B17" s="323"/>
      <c r="C17" s="323"/>
      <c r="D17" s="310"/>
      <c r="E17" s="316"/>
      <c r="F17" s="310"/>
      <c r="G17" s="310"/>
      <c r="H17" s="315"/>
      <c r="I17" s="316"/>
      <c r="J17" s="310"/>
      <c r="K17" s="310"/>
      <c r="L17" s="315"/>
      <c r="M17" s="324"/>
    </row>
    <row r="18" spans="1:13">
      <c r="A18" s="95"/>
      <c r="B18" s="323"/>
      <c r="C18" s="323"/>
      <c r="D18" s="310"/>
      <c r="E18" s="316"/>
      <c r="F18" s="310"/>
      <c r="G18" s="310"/>
      <c r="H18" s="315"/>
      <c r="I18" s="316"/>
      <c r="J18" s="310"/>
      <c r="K18" s="310"/>
      <c r="L18" s="315"/>
      <c r="M18" s="324"/>
    </row>
    <row r="19" spans="1:13">
      <c r="A19" s="95"/>
      <c r="B19" s="323"/>
      <c r="C19" s="323"/>
      <c r="D19" s="310"/>
      <c r="E19" s="316"/>
      <c r="F19" s="310"/>
      <c r="G19" s="310"/>
      <c r="H19" s="315"/>
      <c r="I19" s="316"/>
      <c r="J19" s="310"/>
      <c r="K19" s="310"/>
      <c r="L19" s="315"/>
      <c r="M19" s="324"/>
    </row>
    <row r="20" spans="1:13">
      <c r="A20" s="95"/>
      <c r="B20" s="323"/>
      <c r="C20" s="323"/>
      <c r="D20" s="310"/>
      <c r="E20" s="316"/>
      <c r="F20" s="310"/>
      <c r="G20" s="310"/>
      <c r="H20" s="315"/>
      <c r="I20" s="316"/>
      <c r="J20" s="310"/>
      <c r="K20" s="310"/>
      <c r="L20" s="315"/>
      <c r="M20" s="324"/>
    </row>
    <row r="21" spans="1:13">
      <c r="A21" s="95"/>
      <c r="B21" s="323"/>
      <c r="C21" s="323"/>
      <c r="D21" s="310"/>
      <c r="E21" s="316"/>
      <c r="F21" s="310"/>
      <c r="G21" s="310"/>
      <c r="H21" s="315"/>
      <c r="I21" s="316"/>
      <c r="J21" s="310"/>
      <c r="K21" s="310"/>
      <c r="L21" s="315"/>
      <c r="M21" s="324"/>
    </row>
    <row r="22" spans="1:13">
      <c r="A22" s="95"/>
      <c r="B22" s="323"/>
      <c r="C22" s="323"/>
      <c r="D22" s="310"/>
      <c r="E22" s="316"/>
      <c r="F22" s="310"/>
      <c r="G22" s="310"/>
      <c r="H22" s="315"/>
      <c r="I22" s="316"/>
      <c r="J22" s="310"/>
      <c r="K22" s="310"/>
      <c r="L22" s="315"/>
      <c r="M22" s="324"/>
    </row>
    <row r="23" spans="1:13">
      <c r="A23" s="95"/>
      <c r="B23" s="323"/>
      <c r="C23" s="323"/>
      <c r="D23" s="310"/>
      <c r="E23" s="316"/>
      <c r="F23" s="310"/>
      <c r="G23" s="310"/>
      <c r="H23" s="315"/>
      <c r="I23" s="316"/>
      <c r="J23" s="310"/>
      <c r="K23" s="310"/>
      <c r="L23" s="315"/>
      <c r="M23" s="324"/>
    </row>
    <row r="24" spans="1:13">
      <c r="A24" s="95"/>
      <c r="B24" s="323"/>
      <c r="C24" s="323"/>
      <c r="D24" s="310"/>
      <c r="E24" s="316"/>
      <c r="F24" s="310"/>
      <c r="G24" s="310"/>
      <c r="H24" s="315"/>
      <c r="I24" s="316"/>
      <c r="J24" s="310"/>
      <c r="K24" s="310"/>
      <c r="L24" s="315"/>
      <c r="M24" s="324"/>
    </row>
    <row r="25" spans="1:13">
      <c r="A25" s="95"/>
      <c r="B25" s="323"/>
      <c r="C25" s="323"/>
      <c r="D25" s="310"/>
      <c r="E25" s="316"/>
      <c r="F25" s="310"/>
      <c r="G25" s="310"/>
      <c r="H25" s="315"/>
      <c r="I25" s="316"/>
      <c r="J25" s="310"/>
      <c r="K25" s="310"/>
      <c r="L25" s="315"/>
      <c r="M25" s="324"/>
    </row>
    <row r="26" spans="1:13">
      <c r="A26" s="95"/>
      <c r="B26" s="323"/>
      <c r="C26" s="323"/>
      <c r="D26" s="310"/>
      <c r="E26" s="316"/>
      <c r="F26" s="310"/>
      <c r="G26" s="310"/>
      <c r="H26" s="315"/>
      <c r="I26" s="316"/>
      <c r="J26" s="310"/>
      <c r="K26" s="310"/>
      <c r="L26" s="315"/>
      <c r="M26" s="324"/>
    </row>
    <row r="27" spans="1:13">
      <c r="A27" s="95"/>
      <c r="B27" s="323"/>
      <c r="C27" s="323"/>
      <c r="D27" s="310"/>
      <c r="E27" s="316"/>
      <c r="F27" s="310"/>
      <c r="G27" s="310"/>
      <c r="H27" s="315"/>
      <c r="I27" s="316"/>
      <c r="J27" s="310"/>
      <c r="K27" s="310"/>
      <c r="L27" s="315"/>
      <c r="M27" s="324"/>
    </row>
    <row r="28" spans="1:13">
      <c r="A28" s="95"/>
      <c r="B28" s="323"/>
      <c r="C28" s="323"/>
      <c r="D28" s="310"/>
      <c r="E28" s="316"/>
      <c r="F28" s="310"/>
      <c r="G28" s="310"/>
      <c r="H28" s="315"/>
      <c r="I28" s="316"/>
      <c r="J28" s="310"/>
      <c r="K28" s="310"/>
      <c r="L28" s="315"/>
      <c r="M28" s="324"/>
    </row>
    <row r="29" spans="1:13">
      <c r="A29" s="95"/>
      <c r="B29" s="323"/>
      <c r="C29" s="323"/>
      <c r="D29" s="310"/>
      <c r="E29" s="316"/>
      <c r="F29" s="310"/>
      <c r="G29" s="310"/>
      <c r="H29" s="315"/>
      <c r="I29" s="316"/>
      <c r="J29" s="310"/>
      <c r="K29" s="310"/>
      <c r="L29" s="315"/>
      <c r="M29" s="324"/>
    </row>
    <row r="30" spans="1:13">
      <c r="A30" s="95"/>
      <c r="B30" s="323"/>
      <c r="C30" s="323"/>
      <c r="D30" s="310"/>
      <c r="E30" s="316"/>
      <c r="F30" s="310"/>
      <c r="G30" s="310"/>
      <c r="H30" s="315"/>
      <c r="I30" s="316"/>
      <c r="J30" s="310"/>
      <c r="K30" s="310"/>
      <c r="L30" s="315"/>
      <c r="M30" s="324"/>
    </row>
    <row r="31" spans="1:13">
      <c r="A31" s="95"/>
      <c r="B31" s="323"/>
      <c r="C31" s="323"/>
      <c r="D31" s="310"/>
      <c r="E31" s="316"/>
      <c r="F31" s="310"/>
      <c r="G31" s="310"/>
      <c r="H31" s="315"/>
      <c r="I31" s="316"/>
      <c r="J31" s="310"/>
      <c r="K31" s="310"/>
      <c r="L31" s="315"/>
      <c r="M31" s="324"/>
    </row>
    <row r="32" spans="1:13">
      <c r="A32" s="95"/>
      <c r="B32" s="323"/>
      <c r="C32" s="323"/>
      <c r="D32" s="310"/>
      <c r="E32" s="316"/>
      <c r="F32" s="312"/>
      <c r="G32" s="312"/>
      <c r="H32" s="315"/>
      <c r="I32" s="316"/>
      <c r="J32" s="312"/>
      <c r="K32" s="312"/>
      <c r="L32" s="315"/>
      <c r="M32" s="324"/>
    </row>
    <row r="33" spans="1:13">
      <c r="A33" s="95"/>
      <c r="B33" s="323"/>
      <c r="C33" s="323"/>
      <c r="D33" s="310"/>
      <c r="E33" s="316"/>
      <c r="F33" s="312"/>
      <c r="G33" s="312"/>
      <c r="H33" s="315"/>
      <c r="I33" s="316"/>
      <c r="J33" s="312"/>
      <c r="K33" s="312"/>
      <c r="L33" s="315"/>
      <c r="M33" s="324"/>
    </row>
    <row r="34" spans="1:13">
      <c r="A34" s="95"/>
      <c r="B34" s="323"/>
      <c r="C34" s="323"/>
      <c r="D34" s="310"/>
      <c r="E34" s="316"/>
      <c r="F34" s="312"/>
      <c r="G34" s="312"/>
      <c r="H34" s="315"/>
      <c r="I34" s="316"/>
      <c r="J34" s="312"/>
      <c r="K34" s="312"/>
      <c r="L34" s="315"/>
      <c r="M34" s="324"/>
    </row>
    <row r="35" spans="1:13">
      <c r="A35" s="95"/>
      <c r="B35" s="323"/>
      <c r="C35" s="323"/>
      <c r="D35" s="310"/>
      <c r="E35" s="316"/>
      <c r="F35" s="312"/>
      <c r="G35" s="312"/>
      <c r="H35" s="315"/>
      <c r="I35" s="316"/>
      <c r="J35" s="312"/>
      <c r="K35" s="312"/>
      <c r="L35" s="315"/>
      <c r="M35" s="324"/>
    </row>
    <row r="36" spans="1:13">
      <c r="A36" s="95"/>
      <c r="B36" s="323"/>
      <c r="C36" s="323"/>
      <c r="D36" s="310"/>
      <c r="E36" s="316"/>
      <c r="F36" s="312"/>
      <c r="G36" s="312"/>
      <c r="H36" s="315"/>
      <c r="I36" s="316"/>
      <c r="J36" s="312"/>
      <c r="K36" s="312"/>
      <c r="L36" s="315"/>
      <c r="M36" s="324"/>
    </row>
    <row r="37" spans="1:13">
      <c r="A37" s="95"/>
      <c r="B37" s="323"/>
      <c r="C37" s="323"/>
      <c r="D37" s="310"/>
      <c r="E37" s="316"/>
      <c r="F37" s="312"/>
      <c r="G37" s="312"/>
      <c r="H37" s="315"/>
      <c r="I37" s="316"/>
      <c r="J37" s="312"/>
      <c r="K37" s="312"/>
      <c r="L37" s="315"/>
      <c r="M37" s="324"/>
    </row>
    <row r="38" spans="1:13">
      <c r="A38" s="95"/>
      <c r="B38" s="323"/>
      <c r="C38" s="323"/>
      <c r="D38" s="310"/>
      <c r="E38" s="316"/>
      <c r="F38" s="312"/>
      <c r="G38" s="312"/>
      <c r="H38" s="315"/>
      <c r="I38" s="316"/>
      <c r="J38" s="312"/>
      <c r="K38" s="312"/>
      <c r="L38" s="315"/>
      <c r="M38" s="324"/>
    </row>
    <row r="39" spans="1:13">
      <c r="A39" s="95"/>
      <c r="B39" s="323"/>
      <c r="C39" s="323"/>
      <c r="D39" s="310"/>
      <c r="E39" s="316"/>
      <c r="F39" s="312"/>
      <c r="G39" s="312"/>
      <c r="H39" s="315"/>
      <c r="I39" s="316"/>
      <c r="J39" s="312"/>
      <c r="K39" s="312"/>
      <c r="L39" s="315"/>
      <c r="M39" s="324"/>
    </row>
    <row r="40" spans="1:13">
      <c r="A40" s="95"/>
      <c r="B40" s="323"/>
      <c r="C40" s="323"/>
      <c r="D40" s="310"/>
      <c r="E40" s="316"/>
      <c r="F40" s="312"/>
      <c r="G40" s="312"/>
      <c r="H40" s="315"/>
      <c r="I40" s="316"/>
      <c r="J40" s="312"/>
      <c r="K40" s="312"/>
      <c r="L40" s="315"/>
      <c r="M40" s="324"/>
    </row>
    <row r="41" spans="1:13">
      <c r="A41" s="95"/>
      <c r="B41" s="323"/>
      <c r="C41" s="323"/>
      <c r="D41" s="310"/>
      <c r="E41" s="316"/>
      <c r="F41" s="312"/>
      <c r="G41" s="312"/>
      <c r="H41" s="315"/>
      <c r="I41" s="316"/>
      <c r="J41" s="312"/>
      <c r="K41" s="312"/>
      <c r="L41" s="315"/>
      <c r="M41" s="324"/>
    </row>
    <row r="42" spans="1:13">
      <c r="A42" s="95"/>
      <c r="B42" s="323"/>
      <c r="C42" s="323"/>
      <c r="D42" s="310"/>
      <c r="E42" s="316"/>
      <c r="F42" s="312"/>
      <c r="G42" s="312"/>
      <c r="H42" s="315"/>
      <c r="I42" s="316"/>
      <c r="J42" s="312"/>
      <c r="K42" s="312"/>
      <c r="L42" s="315"/>
      <c r="M42" s="324"/>
    </row>
    <row r="43" spans="1:13">
      <c r="A43" s="95"/>
      <c r="B43" s="323"/>
      <c r="C43" s="323"/>
      <c r="D43" s="310"/>
      <c r="E43" s="316"/>
      <c r="F43" s="312"/>
      <c r="G43" s="312"/>
      <c r="H43" s="315"/>
      <c r="I43" s="316"/>
      <c r="J43" s="312"/>
      <c r="K43" s="312"/>
      <c r="L43" s="315"/>
      <c r="M43" s="324"/>
    </row>
    <row r="44" spans="1:13">
      <c r="A44" s="95"/>
      <c r="B44" s="323"/>
      <c r="C44" s="323"/>
      <c r="D44" s="310"/>
      <c r="E44" s="316"/>
      <c r="F44" s="312"/>
      <c r="G44" s="312"/>
      <c r="H44" s="315"/>
      <c r="I44" s="316"/>
      <c r="J44" s="312"/>
      <c r="K44" s="312"/>
      <c r="L44" s="315"/>
      <c r="M44" s="324"/>
    </row>
    <row r="45" spans="1:13">
      <c r="A45" s="95"/>
      <c r="B45" s="323"/>
      <c r="C45" s="323"/>
      <c r="D45" s="310"/>
      <c r="E45" s="316"/>
      <c r="F45" s="312"/>
      <c r="G45" s="312"/>
      <c r="H45" s="315"/>
      <c r="I45" s="316"/>
      <c r="J45" s="312"/>
      <c r="K45" s="312"/>
      <c r="L45" s="315"/>
      <c r="M45" s="324"/>
    </row>
    <row r="46" spans="1:13">
      <c r="A46" s="95"/>
      <c r="B46" s="323"/>
      <c r="C46" s="323"/>
      <c r="D46" s="310"/>
      <c r="E46" s="316"/>
      <c r="F46" s="312"/>
      <c r="G46" s="312"/>
      <c r="H46" s="315"/>
      <c r="I46" s="316"/>
      <c r="J46" s="312"/>
      <c r="K46" s="312"/>
      <c r="L46" s="315"/>
      <c r="M46" s="324"/>
    </row>
    <row r="47" spans="1:13">
      <c r="A47" s="95"/>
      <c r="B47" s="323"/>
      <c r="C47" s="323"/>
      <c r="D47" s="310"/>
      <c r="E47" s="316"/>
      <c r="F47" s="312"/>
      <c r="G47" s="312"/>
      <c r="H47" s="315"/>
      <c r="I47" s="316"/>
      <c r="J47" s="312"/>
      <c r="K47" s="312"/>
      <c r="L47" s="315"/>
      <c r="M47" s="324"/>
    </row>
    <row r="48" spans="1:13">
      <c r="A48" s="105"/>
      <c r="B48" s="105"/>
      <c r="C48" s="105"/>
      <c r="D48" s="105"/>
      <c r="E48" s="106"/>
      <c r="F48" s="105"/>
      <c r="G48" s="105"/>
      <c r="H48" s="105"/>
      <c r="I48" s="106"/>
      <c r="J48" s="105"/>
      <c r="K48" s="120"/>
      <c r="L48" s="121"/>
      <c r="M48" s="92"/>
    </row>
    <row r="49" spans="1:13">
      <c r="A49" s="494" t="s">
        <v>265</v>
      </c>
      <c r="B49" s="494"/>
      <c r="C49" s="494"/>
      <c r="D49" s="494"/>
      <c r="E49" s="104">
        <f>SUM(E15:E47)</f>
        <v>0</v>
      </c>
      <c r="H49" s="122">
        <f>SUM(H15:H47)</f>
        <v>0</v>
      </c>
      <c r="I49" s="104">
        <f>SUM(I15:I47)</f>
        <v>0</v>
      </c>
      <c r="J49" s="103"/>
      <c r="K49" s="92"/>
      <c r="L49" s="122">
        <f>SUM(L15:L31)</f>
        <v>0</v>
      </c>
    </row>
    <row r="50" spans="1:13">
      <c r="A50" s="487" t="s">
        <v>267</v>
      </c>
      <c r="B50" s="488"/>
      <c r="C50" s="488"/>
      <c r="D50" s="489"/>
      <c r="E50" s="309"/>
      <c r="H50" s="325"/>
      <c r="I50" s="104" t="e">
        <f>I49/L49*L50</f>
        <v>#DIV/0!</v>
      </c>
      <c r="J50" s="92" t="s">
        <v>266</v>
      </c>
      <c r="L50" s="325"/>
      <c r="M50" s="91"/>
    </row>
    <row r="51" spans="1:13">
      <c r="A51" s="272"/>
      <c r="B51" s="272"/>
      <c r="C51" s="272"/>
      <c r="D51" s="272"/>
      <c r="H51" s="273">
        <f>H49+H50</f>
        <v>0</v>
      </c>
      <c r="I51" s="104" t="e">
        <f>I49+I50</f>
        <v>#DIV/0!</v>
      </c>
      <c r="L51" s="273">
        <f>L49+L50</f>
        <v>0</v>
      </c>
    </row>
    <row r="52" spans="1:13">
      <c r="A52" s="490"/>
      <c r="B52" s="490"/>
      <c r="C52" s="490"/>
      <c r="D52" s="490"/>
      <c r="F52" s="93"/>
      <c r="G52" s="93"/>
      <c r="H52" s="93"/>
      <c r="I52" s="93"/>
      <c r="J52" s="93"/>
      <c r="K52" s="93"/>
      <c r="L52" s="93"/>
      <c r="M52" s="93"/>
    </row>
  </sheetData>
  <mergeCells count="7">
    <mergeCell ref="A50:D50"/>
    <mergeCell ref="A52:D52"/>
    <mergeCell ref="E13:H13"/>
    <mergeCell ref="I13:L13"/>
    <mergeCell ref="A2:G2"/>
    <mergeCell ref="A7:G7"/>
    <mergeCell ref="A49:D49"/>
  </mergeCells>
  <dataValidations count="1">
    <dataValidation type="decimal" allowBlank="1" showInputMessage="1" showErrorMessage="1" errorTitle="Falsche Eingabe!" error="Wert muss größer 0 und kleiner gleich 1 sein!" sqref="E15:E47 I15:I47" xr:uid="{00000000-0002-0000-0400-000000000000}">
      <formula1>0.01</formula1>
      <formula2>1</formula2>
    </dataValidation>
  </dataValidations>
  <pageMargins left="0.25" right="0.25" top="0.75" bottom="0.75" header="0.3" footer="0.3"/>
  <pageSetup paperSize="9" scale="66"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1000000}">
          <x14:formula1>
            <xm:f>Listen!$P$1:$P$2</xm:f>
          </x14:formula1>
          <xm:sqref>B15:B47</xm:sqref>
        </x14:dataValidation>
        <x14:dataValidation type="list" allowBlank="1" showInputMessage="1" xr:uid="{00000000-0002-0000-0400-000002000000}">
          <x14:formula1>
            <xm:f>Listen!$M$1:$M$6</xm:f>
          </x14:formula1>
          <xm:sqref>C15:C47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2:M128"/>
  <sheetViews>
    <sheetView zoomScaleNormal="100" workbookViewId="0">
      <selection activeCell="A73" sqref="A73"/>
    </sheetView>
  </sheetViews>
  <sheetFormatPr baseColWidth="10" defaultColWidth="10.875" defaultRowHeight="12.75"/>
  <cols>
    <col min="1" max="1" width="44.5" style="112" customWidth="1"/>
    <col min="2" max="2" width="22.625" style="112" customWidth="1"/>
    <col min="3" max="3" width="21" style="112" customWidth="1"/>
    <col min="4" max="4" width="13.75" style="445" bestFit="1" customWidth="1"/>
    <col min="5" max="5" width="17.125" style="112" bestFit="1" customWidth="1"/>
    <col min="6" max="6" width="15.875" style="112" customWidth="1"/>
    <col min="7" max="7" width="41" style="112" customWidth="1"/>
    <col min="8" max="8" width="23" style="112" customWidth="1"/>
    <col min="9" max="9" width="18.625" style="112" customWidth="1"/>
    <col min="10" max="10" width="16.5" style="112" bestFit="1" customWidth="1"/>
    <col min="11" max="11" width="16" style="112" customWidth="1"/>
    <col min="12" max="12" width="23.5" style="112" customWidth="1"/>
    <col min="13" max="13" width="24" style="112" customWidth="1"/>
    <col min="14" max="14" width="15.625" style="112" bestFit="1" customWidth="1"/>
    <col min="15" max="15" width="22.875" style="112" customWidth="1"/>
    <col min="16" max="16" width="15.5" style="112" bestFit="1" customWidth="1"/>
    <col min="17" max="17" width="16.125" style="112" bestFit="1" customWidth="1"/>
    <col min="18" max="18" width="17.875" style="112" customWidth="1"/>
    <col min="19" max="16384" width="10.875" style="112"/>
  </cols>
  <sheetData>
    <row r="2" spans="1:8" ht="57.75" customHeight="1">
      <c r="A2" s="253"/>
      <c r="B2" s="254" t="s">
        <v>251</v>
      </c>
      <c r="C2" s="255" t="s">
        <v>178</v>
      </c>
      <c r="D2" s="434" t="s">
        <v>232</v>
      </c>
      <c r="E2" s="255" t="s">
        <v>231</v>
      </c>
      <c r="F2" s="161"/>
      <c r="G2" s="338"/>
      <c r="H2" s="338"/>
    </row>
    <row r="3" spans="1:8" ht="15.75">
      <c r="A3" s="124"/>
      <c r="B3" s="123"/>
      <c r="C3" s="124"/>
      <c r="D3" s="435"/>
      <c r="E3" s="256"/>
      <c r="G3" s="339"/>
      <c r="H3" s="340"/>
    </row>
    <row r="4" spans="1:8">
      <c r="A4" s="257" t="s">
        <v>230</v>
      </c>
      <c r="B4" s="326"/>
      <c r="C4" s="326"/>
      <c r="D4" s="387"/>
      <c r="E4" s="132">
        <f>C4*D4</f>
        <v>0</v>
      </c>
      <c r="G4" s="338"/>
      <c r="H4" s="341"/>
    </row>
    <row r="5" spans="1:8">
      <c r="A5" s="258"/>
      <c r="B5" s="126"/>
      <c r="C5" s="127"/>
      <c r="D5" s="436"/>
      <c r="E5" s="127"/>
      <c r="G5" s="338"/>
      <c r="H5" s="338"/>
    </row>
    <row r="6" spans="1:8">
      <c r="A6" s="257" t="s">
        <v>229</v>
      </c>
      <c r="B6" s="125">
        <f>SUM(B7:B9)</f>
        <v>0</v>
      </c>
      <c r="C6" s="125">
        <f>SUM(C7:C9)</f>
        <v>0</v>
      </c>
      <c r="D6" s="437"/>
      <c r="E6" s="132">
        <f>SUM(E7:E9)</f>
        <v>0</v>
      </c>
      <c r="G6" s="340"/>
      <c r="H6" s="338"/>
    </row>
    <row r="7" spans="1:8">
      <c r="A7" s="258" t="s">
        <v>400</v>
      </c>
      <c r="B7" s="326"/>
      <c r="C7" s="326"/>
      <c r="D7" s="438"/>
      <c r="E7" s="132">
        <f>C7*D7</f>
        <v>0</v>
      </c>
      <c r="G7" s="338"/>
      <c r="H7" s="338"/>
    </row>
    <row r="8" spans="1:8">
      <c r="A8" s="258" t="s">
        <v>228</v>
      </c>
      <c r="B8" s="326"/>
      <c r="C8" s="326"/>
      <c r="D8" s="438"/>
      <c r="E8" s="132">
        <f>C8*D8</f>
        <v>0</v>
      </c>
      <c r="G8" s="338"/>
      <c r="H8" s="338"/>
    </row>
    <row r="9" spans="1:8">
      <c r="A9" s="258" t="s">
        <v>227</v>
      </c>
      <c r="B9" s="326"/>
      <c r="C9" s="326"/>
      <c r="D9" s="438"/>
      <c r="E9" s="132">
        <f>C9*D9</f>
        <v>0</v>
      </c>
      <c r="G9" s="338"/>
      <c r="H9" s="338"/>
    </row>
    <row r="10" spans="1:8">
      <c r="A10" s="258"/>
      <c r="B10" s="126"/>
      <c r="C10" s="127"/>
      <c r="D10" s="436"/>
      <c r="E10" s="127"/>
      <c r="G10" s="338"/>
      <c r="H10" s="338"/>
    </row>
    <row r="11" spans="1:8">
      <c r="A11" s="257" t="s">
        <v>226</v>
      </c>
      <c r="B11" s="125">
        <f>SUM(B12:B17)</f>
        <v>0</v>
      </c>
      <c r="C11" s="125">
        <f>SUM(C12:C17)</f>
        <v>0</v>
      </c>
      <c r="D11" s="439"/>
      <c r="E11" s="125">
        <f>SUM(E12:E17)</f>
        <v>0</v>
      </c>
      <c r="G11" s="340"/>
      <c r="H11" s="338"/>
    </row>
    <row r="12" spans="1:8">
      <c r="A12" s="258" t="s">
        <v>225</v>
      </c>
      <c r="B12" s="326"/>
      <c r="C12" s="328"/>
      <c r="D12" s="387"/>
      <c r="E12" s="132">
        <f t="shared" ref="E12:E17" si="0">C12*D12</f>
        <v>0</v>
      </c>
      <c r="G12" s="343"/>
      <c r="H12" s="338"/>
    </row>
    <row r="13" spans="1:8">
      <c r="A13" s="258" t="s">
        <v>224</v>
      </c>
      <c r="B13" s="326"/>
      <c r="C13" s="328"/>
      <c r="D13" s="387"/>
      <c r="E13" s="132">
        <f t="shared" si="0"/>
        <v>0</v>
      </c>
      <c r="G13" s="344"/>
      <c r="H13" s="338"/>
    </row>
    <row r="14" spans="1:8">
      <c r="A14" s="258" t="s">
        <v>223</v>
      </c>
      <c r="B14" s="326"/>
      <c r="C14" s="328"/>
      <c r="D14" s="387"/>
      <c r="E14" s="132">
        <f t="shared" si="0"/>
        <v>0</v>
      </c>
      <c r="G14" s="343"/>
      <c r="H14" s="338"/>
    </row>
    <row r="15" spans="1:8">
      <c r="A15" s="258" t="s">
        <v>222</v>
      </c>
      <c r="B15" s="326"/>
      <c r="C15" s="328"/>
      <c r="D15" s="387"/>
      <c r="E15" s="132">
        <f t="shared" si="0"/>
        <v>0</v>
      </c>
      <c r="G15" s="338"/>
      <c r="H15" s="338"/>
    </row>
    <row r="16" spans="1:8">
      <c r="A16" s="258" t="s">
        <v>221</v>
      </c>
      <c r="B16" s="326"/>
      <c r="C16" s="328"/>
      <c r="D16" s="387"/>
      <c r="E16" s="132">
        <f t="shared" si="0"/>
        <v>0</v>
      </c>
      <c r="G16" s="342"/>
      <c r="H16" s="338"/>
    </row>
    <row r="17" spans="1:8">
      <c r="A17" s="258" t="s">
        <v>268</v>
      </c>
      <c r="B17" s="326"/>
      <c r="C17" s="328"/>
      <c r="D17" s="387"/>
      <c r="E17" s="132">
        <f t="shared" si="0"/>
        <v>0</v>
      </c>
      <c r="G17" s="342"/>
      <c r="H17" s="338"/>
    </row>
    <row r="18" spans="1:8">
      <c r="A18" s="257"/>
      <c r="B18" s="126"/>
      <c r="C18" s="127"/>
      <c r="D18" s="440"/>
      <c r="E18" s="128"/>
      <c r="G18" s="338"/>
      <c r="H18" s="338"/>
    </row>
    <row r="19" spans="1:8">
      <c r="A19" s="257" t="s">
        <v>410</v>
      </c>
      <c r="B19" s="129">
        <f>H89</f>
        <v>0</v>
      </c>
      <c r="C19" s="130">
        <f>L89</f>
        <v>0</v>
      </c>
      <c r="D19" s="441"/>
      <c r="E19" s="259">
        <f>C19*D19</f>
        <v>0</v>
      </c>
      <c r="G19" s="340"/>
      <c r="H19" s="338"/>
    </row>
    <row r="20" spans="1:8" ht="15.75">
      <c r="A20" s="271"/>
      <c r="B20" s="124"/>
      <c r="C20" s="131"/>
      <c r="D20" s="442"/>
      <c r="E20" s="131"/>
      <c r="G20" s="342"/>
      <c r="H20" s="338"/>
    </row>
    <row r="21" spans="1:8">
      <c r="A21" s="257" t="s">
        <v>220</v>
      </c>
      <c r="B21" s="125">
        <f>SUM(B22:B23)</f>
        <v>0</v>
      </c>
      <c r="C21" s="125">
        <f>SUM(C22:C23)</f>
        <v>0</v>
      </c>
      <c r="D21" s="437"/>
      <c r="E21" s="132">
        <f>SUM(E22:E23)</f>
        <v>0</v>
      </c>
      <c r="G21" s="340"/>
      <c r="H21" s="338"/>
    </row>
    <row r="22" spans="1:8">
      <c r="A22" s="333" t="s">
        <v>219</v>
      </c>
      <c r="B22" s="326"/>
      <c r="C22" s="326"/>
      <c r="D22" s="443"/>
      <c r="E22" s="132">
        <f t="shared" ref="E22:E23" si="1">C22*D22</f>
        <v>0</v>
      </c>
      <c r="G22" s="338"/>
      <c r="H22" s="338"/>
    </row>
    <row r="23" spans="1:8">
      <c r="A23" s="333" t="s">
        <v>218</v>
      </c>
      <c r="B23" s="326"/>
      <c r="C23" s="326"/>
      <c r="D23" s="443"/>
      <c r="E23" s="132">
        <f t="shared" si="1"/>
        <v>0</v>
      </c>
      <c r="G23" s="338"/>
      <c r="H23" s="338"/>
    </row>
    <row r="24" spans="1:8">
      <c r="A24" s="257"/>
      <c r="B24" s="126"/>
      <c r="C24" s="132"/>
      <c r="D24" s="437"/>
      <c r="E24" s="132"/>
      <c r="G24" s="338"/>
      <c r="H24" s="338"/>
    </row>
    <row r="25" spans="1:8">
      <c r="A25" s="257" t="s">
        <v>217</v>
      </c>
      <c r="B25" s="125">
        <f>SUM(B26:B38)</f>
        <v>0</v>
      </c>
      <c r="C25" s="125">
        <f>SUM(C26:C38)</f>
        <v>0</v>
      </c>
      <c r="D25" s="444"/>
      <c r="E25" s="132">
        <f>SUM(E26:E38)</f>
        <v>0</v>
      </c>
      <c r="G25" s="340"/>
      <c r="H25" s="338"/>
    </row>
    <row r="26" spans="1:8">
      <c r="A26" s="360" t="s">
        <v>446</v>
      </c>
      <c r="B26" s="380">
        <f>C120</f>
        <v>0</v>
      </c>
      <c r="C26" s="128">
        <f>F120</f>
        <v>0</v>
      </c>
      <c r="D26" s="440"/>
      <c r="E26" s="132">
        <f>C26*D26</f>
        <v>0</v>
      </c>
      <c r="G26" s="340"/>
      <c r="H26" s="338"/>
    </row>
    <row r="27" spans="1:8">
      <c r="A27" s="332" t="s">
        <v>401</v>
      </c>
      <c r="B27" s="382"/>
      <c r="C27" s="326"/>
      <c r="D27" s="438"/>
      <c r="E27" s="132">
        <f>C27*D27</f>
        <v>0</v>
      </c>
      <c r="G27" s="343"/>
      <c r="H27" s="338"/>
    </row>
    <row r="28" spans="1:8">
      <c r="A28" s="332" t="s">
        <v>397</v>
      </c>
      <c r="B28" s="328"/>
      <c r="C28" s="326"/>
      <c r="D28" s="438"/>
      <c r="E28" s="132">
        <f t="shared" ref="E28:E38" si="2">C28*D28</f>
        <v>0</v>
      </c>
      <c r="G28" s="343"/>
      <c r="H28" s="338"/>
    </row>
    <row r="29" spans="1:8">
      <c r="A29" s="381" t="s">
        <v>402</v>
      </c>
      <c r="B29" s="328"/>
      <c r="C29" s="326"/>
      <c r="D29" s="438"/>
      <c r="E29" s="132">
        <f t="shared" si="2"/>
        <v>0</v>
      </c>
      <c r="G29" s="343"/>
      <c r="H29" s="338"/>
    </row>
    <row r="30" spans="1:8">
      <c r="A30" s="332" t="s">
        <v>403</v>
      </c>
      <c r="B30" s="328"/>
      <c r="C30" s="326"/>
      <c r="D30" s="438"/>
      <c r="E30" s="132">
        <f t="shared" si="2"/>
        <v>0</v>
      </c>
      <c r="G30" s="340"/>
      <c r="H30" s="338"/>
    </row>
    <row r="31" spans="1:8">
      <c r="A31" s="381" t="s">
        <v>216</v>
      </c>
      <c r="B31" s="328"/>
      <c r="C31" s="326"/>
      <c r="D31" s="438"/>
      <c r="E31" s="132">
        <f t="shared" si="2"/>
        <v>0</v>
      </c>
      <c r="G31" s="343"/>
      <c r="H31" s="338"/>
    </row>
    <row r="32" spans="1:8">
      <c r="A32" s="381" t="s">
        <v>215</v>
      </c>
      <c r="B32" s="328"/>
      <c r="C32" s="326"/>
      <c r="D32" s="438"/>
      <c r="E32" s="132">
        <f t="shared" si="2"/>
        <v>0</v>
      </c>
      <c r="G32" s="343"/>
      <c r="H32" s="338"/>
    </row>
    <row r="33" spans="1:8">
      <c r="A33" s="381" t="s">
        <v>214</v>
      </c>
      <c r="B33" s="328"/>
      <c r="C33" s="326"/>
      <c r="D33" s="438"/>
      <c r="E33" s="132">
        <f t="shared" si="2"/>
        <v>0</v>
      </c>
      <c r="G33" s="343"/>
      <c r="H33" s="338"/>
    </row>
    <row r="34" spans="1:8">
      <c r="A34" s="337" t="s">
        <v>398</v>
      </c>
      <c r="B34" s="326"/>
      <c r="C34" s="326"/>
      <c r="D34" s="438"/>
      <c r="E34" s="132">
        <f t="shared" si="2"/>
        <v>0</v>
      </c>
      <c r="G34" s="343"/>
      <c r="H34" s="342"/>
    </row>
    <row r="35" spans="1:8">
      <c r="A35" s="332" t="s">
        <v>399</v>
      </c>
      <c r="B35" s="326"/>
      <c r="C35" s="326"/>
      <c r="D35" s="438"/>
      <c r="E35" s="132">
        <f t="shared" si="2"/>
        <v>0</v>
      </c>
      <c r="G35" s="343"/>
      <c r="H35" s="338"/>
    </row>
    <row r="36" spans="1:8">
      <c r="A36" s="337" t="s">
        <v>269</v>
      </c>
      <c r="B36" s="326"/>
      <c r="C36" s="326"/>
      <c r="D36" s="438"/>
      <c r="E36" s="132">
        <f t="shared" si="2"/>
        <v>0</v>
      </c>
      <c r="G36" s="345"/>
      <c r="H36" s="342"/>
    </row>
    <row r="37" spans="1:8">
      <c r="A37" s="258" t="s">
        <v>212</v>
      </c>
      <c r="B37" s="326"/>
      <c r="C37" s="326"/>
      <c r="D37" s="438"/>
      <c r="E37" s="132">
        <f t="shared" si="2"/>
        <v>0</v>
      </c>
      <c r="G37" s="342"/>
      <c r="H37" s="338"/>
    </row>
    <row r="38" spans="1:8">
      <c r="A38" s="258" t="s">
        <v>211</v>
      </c>
      <c r="B38" s="430"/>
      <c r="C38" s="328"/>
      <c r="D38" s="443"/>
      <c r="E38" s="132">
        <f t="shared" si="2"/>
        <v>0</v>
      </c>
      <c r="G38" s="353"/>
      <c r="H38" s="338"/>
    </row>
    <row r="39" spans="1:8">
      <c r="A39" s="257"/>
      <c r="B39" s="124"/>
      <c r="C39" s="124"/>
      <c r="D39" s="465"/>
      <c r="E39" s="124"/>
      <c r="G39" s="354"/>
      <c r="H39" s="338"/>
    </row>
    <row r="40" spans="1:8">
      <c r="A40" s="334" t="s">
        <v>213</v>
      </c>
      <c r="B40" s="125">
        <f>SUM(B41:B42)</f>
        <v>0</v>
      </c>
      <c r="C40" s="125">
        <f>SUM(C41:C42)</f>
        <v>0</v>
      </c>
      <c r="D40" s="446"/>
      <c r="E40" s="132">
        <f>SUM(E41:E42)</f>
        <v>0</v>
      </c>
      <c r="G40" s="355"/>
      <c r="H40" s="338"/>
    </row>
    <row r="41" spans="1:8">
      <c r="A41" s="258" t="s">
        <v>404</v>
      </c>
      <c r="B41" s="326"/>
      <c r="C41" s="326"/>
      <c r="D41" s="438"/>
      <c r="E41" s="132">
        <f t="shared" ref="E41:E42" si="3">C41*D41</f>
        <v>0</v>
      </c>
      <c r="G41" s="356"/>
      <c r="H41" s="342"/>
    </row>
    <row r="42" spans="1:8">
      <c r="A42" s="258" t="s">
        <v>270</v>
      </c>
      <c r="B42" s="326"/>
      <c r="C42" s="326"/>
      <c r="D42" s="438"/>
      <c r="E42" s="132">
        <f t="shared" si="3"/>
        <v>0</v>
      </c>
      <c r="G42" s="357"/>
      <c r="H42" s="342"/>
    </row>
    <row r="43" spans="1:8">
      <c r="A43" s="257"/>
      <c r="B43" s="126"/>
      <c r="C43" s="127"/>
      <c r="D43" s="436"/>
      <c r="E43" s="127"/>
      <c r="G43" s="353"/>
      <c r="H43" s="338"/>
    </row>
    <row r="44" spans="1:8">
      <c r="A44" s="346" t="s">
        <v>210</v>
      </c>
      <c r="B44" s="125">
        <f>SUM(B45:B51)</f>
        <v>0</v>
      </c>
      <c r="C44" s="125">
        <f>SUM(C45:C51)</f>
        <v>0</v>
      </c>
      <c r="D44" s="447"/>
      <c r="E44" s="132">
        <f>SUM(E45:E51)</f>
        <v>0</v>
      </c>
      <c r="G44" s="354"/>
      <c r="H44" s="338"/>
    </row>
    <row r="45" spans="1:8">
      <c r="A45" s="333" t="s">
        <v>209</v>
      </c>
      <c r="B45" s="326"/>
      <c r="C45" s="326"/>
      <c r="D45" s="438"/>
      <c r="E45" s="132">
        <f t="shared" ref="E45:E51" si="4">C45*D45</f>
        <v>0</v>
      </c>
      <c r="G45" s="355"/>
      <c r="H45" s="338"/>
    </row>
    <row r="46" spans="1:8">
      <c r="A46" s="333" t="s">
        <v>208</v>
      </c>
      <c r="B46" s="326"/>
      <c r="C46" s="326"/>
      <c r="D46" s="438"/>
      <c r="E46" s="132">
        <f t="shared" si="4"/>
        <v>0</v>
      </c>
      <c r="G46" s="357"/>
      <c r="H46" s="338"/>
    </row>
    <row r="47" spans="1:8">
      <c r="A47" s="333" t="s">
        <v>207</v>
      </c>
      <c r="B47" s="326"/>
      <c r="C47" s="326"/>
      <c r="D47" s="438"/>
      <c r="E47" s="132">
        <f t="shared" si="4"/>
        <v>0</v>
      </c>
      <c r="G47" s="355"/>
      <c r="H47" s="338"/>
    </row>
    <row r="48" spans="1:8">
      <c r="A48" s="333" t="s">
        <v>206</v>
      </c>
      <c r="B48" s="326"/>
      <c r="C48" s="326"/>
      <c r="D48" s="438"/>
      <c r="E48" s="132">
        <f t="shared" si="4"/>
        <v>0</v>
      </c>
      <c r="G48" s="353"/>
      <c r="H48" s="338"/>
    </row>
    <row r="49" spans="1:8">
      <c r="A49" s="333" t="s">
        <v>205</v>
      </c>
      <c r="B49" s="326"/>
      <c r="C49" s="326"/>
      <c r="D49" s="438"/>
      <c r="E49" s="132">
        <f t="shared" si="4"/>
        <v>0</v>
      </c>
      <c r="G49" s="358"/>
      <c r="H49" s="338"/>
    </row>
    <row r="50" spans="1:8">
      <c r="A50" s="333" t="s">
        <v>204</v>
      </c>
      <c r="B50" s="326"/>
      <c r="C50" s="326"/>
      <c r="D50" s="438"/>
      <c r="E50" s="132">
        <f t="shared" si="4"/>
        <v>0</v>
      </c>
      <c r="G50" s="353"/>
      <c r="H50" s="338"/>
    </row>
    <row r="51" spans="1:8">
      <c r="A51" s="333" t="s">
        <v>271</v>
      </c>
      <c r="B51" s="326"/>
      <c r="C51" s="326"/>
      <c r="D51" s="438"/>
      <c r="E51" s="132">
        <f t="shared" si="4"/>
        <v>0</v>
      </c>
      <c r="G51" s="353"/>
      <c r="H51" s="338"/>
    </row>
    <row r="52" spans="1:8">
      <c r="A52" s="346"/>
      <c r="B52" s="126"/>
      <c r="C52" s="127"/>
      <c r="D52" s="436"/>
      <c r="E52" s="127"/>
      <c r="G52" s="353"/>
      <c r="H52" s="338"/>
    </row>
    <row r="53" spans="1:8">
      <c r="A53" s="346" t="s">
        <v>203</v>
      </c>
      <c r="B53" s="327"/>
      <c r="C53" s="327"/>
      <c r="D53" s="448"/>
      <c r="E53" s="260">
        <f>C53*D53</f>
        <v>0</v>
      </c>
      <c r="G53" s="354"/>
      <c r="H53" s="338"/>
    </row>
    <row r="54" spans="1:8">
      <c r="A54" s="346"/>
      <c r="B54" s="126"/>
      <c r="C54" s="127"/>
      <c r="D54" s="436"/>
      <c r="E54" s="127"/>
      <c r="G54" s="353"/>
      <c r="H54" s="338"/>
    </row>
    <row r="55" spans="1:8">
      <c r="A55" s="346" t="s">
        <v>246</v>
      </c>
      <c r="B55" s="125">
        <f>SUM(B56:B61)</f>
        <v>0</v>
      </c>
      <c r="C55" s="125">
        <f>SUM(C56:C61)</f>
        <v>0</v>
      </c>
      <c r="D55" s="437"/>
      <c r="E55" s="132">
        <f>SUM(E56:E61)</f>
        <v>0</v>
      </c>
      <c r="G55" s="354"/>
      <c r="H55" s="338"/>
    </row>
    <row r="56" spans="1:8">
      <c r="A56" s="347" t="s">
        <v>202</v>
      </c>
      <c r="B56" s="326"/>
      <c r="C56" s="326"/>
      <c r="D56" s="448"/>
      <c r="E56" s="132">
        <f t="shared" ref="E56:E61" si="5">C56*D56</f>
        <v>0</v>
      </c>
      <c r="G56" s="359"/>
      <c r="H56" s="338"/>
    </row>
    <row r="57" spans="1:8" ht="29.1" customHeight="1">
      <c r="A57" s="347" t="s">
        <v>201</v>
      </c>
      <c r="B57" s="326"/>
      <c r="C57" s="326"/>
      <c r="D57" s="448"/>
      <c r="E57" s="132">
        <f t="shared" si="5"/>
        <v>0</v>
      </c>
      <c r="G57" s="359"/>
      <c r="H57" s="338"/>
    </row>
    <row r="58" spans="1:8">
      <c r="A58" s="347" t="s">
        <v>200</v>
      </c>
      <c r="B58" s="326"/>
      <c r="C58" s="326"/>
      <c r="D58" s="448"/>
      <c r="E58" s="132">
        <f t="shared" si="5"/>
        <v>0</v>
      </c>
      <c r="G58" s="359"/>
      <c r="H58" s="338"/>
    </row>
    <row r="59" spans="1:8">
      <c r="A59" s="347" t="s">
        <v>199</v>
      </c>
      <c r="B59" s="326"/>
      <c r="C59" s="326"/>
      <c r="D59" s="448"/>
      <c r="E59" s="132">
        <f t="shared" si="5"/>
        <v>0</v>
      </c>
      <c r="G59" s="359"/>
      <c r="H59" s="338"/>
    </row>
    <row r="60" spans="1:8" ht="25.5">
      <c r="A60" s="347" t="s">
        <v>198</v>
      </c>
      <c r="B60" s="326"/>
      <c r="C60" s="326"/>
      <c r="D60" s="448"/>
      <c r="E60" s="132">
        <f t="shared" si="5"/>
        <v>0</v>
      </c>
      <c r="G60" s="359"/>
      <c r="H60" s="338"/>
    </row>
    <row r="61" spans="1:8">
      <c r="A61" s="347" t="s">
        <v>272</v>
      </c>
      <c r="B61" s="326"/>
      <c r="C61" s="326"/>
      <c r="D61" s="438"/>
      <c r="E61" s="132">
        <f t="shared" si="5"/>
        <v>0</v>
      </c>
      <c r="G61" s="359"/>
      <c r="H61" s="338"/>
    </row>
    <row r="62" spans="1:8">
      <c r="A62" s="346"/>
      <c r="B62" s="125"/>
      <c r="C62" s="125"/>
      <c r="D62" s="446"/>
      <c r="E62" s="132"/>
      <c r="G62" s="353"/>
      <c r="H62" s="338"/>
    </row>
    <row r="63" spans="1:8">
      <c r="A63" s="346" t="s">
        <v>197</v>
      </c>
      <c r="B63" s="125">
        <f>SUM(B64:B67)</f>
        <v>0</v>
      </c>
      <c r="C63" s="125">
        <f>SUM(C64:C67)</f>
        <v>0</v>
      </c>
      <c r="D63" s="446"/>
      <c r="E63" s="132">
        <f>ROUND(((C64*D64)+(C65*D65)+(C66*D66))+(C67*D67),2)</f>
        <v>0</v>
      </c>
      <c r="F63" s="338"/>
      <c r="G63" s="353"/>
      <c r="H63" s="338"/>
    </row>
    <row r="64" spans="1:8">
      <c r="A64" s="348" t="s">
        <v>196</v>
      </c>
      <c r="B64" s="326"/>
      <c r="C64" s="326"/>
      <c r="D64" s="387"/>
      <c r="E64" s="352"/>
      <c r="F64" s="338"/>
      <c r="G64" s="354"/>
      <c r="H64" s="338"/>
    </row>
    <row r="65" spans="1:13">
      <c r="A65" s="348" t="s">
        <v>195</v>
      </c>
      <c r="B65" s="326"/>
      <c r="C65" s="326"/>
      <c r="D65" s="387"/>
      <c r="E65" s="352"/>
      <c r="F65" s="338"/>
      <c r="G65" s="357"/>
      <c r="H65" s="338"/>
    </row>
    <row r="66" spans="1:13">
      <c r="A66" s="348" t="s">
        <v>194</v>
      </c>
      <c r="B66" s="326"/>
      <c r="C66" s="326"/>
      <c r="D66" s="387"/>
      <c r="E66" s="352"/>
      <c r="F66" s="338"/>
      <c r="G66" s="357"/>
      <c r="H66" s="338"/>
    </row>
    <row r="67" spans="1:13">
      <c r="A67" s="348" t="s">
        <v>273</v>
      </c>
      <c r="B67" s="326"/>
      <c r="C67" s="326"/>
      <c r="D67" s="387"/>
      <c r="E67" s="352"/>
      <c r="F67" s="338"/>
      <c r="G67" s="357"/>
      <c r="H67" s="338"/>
    </row>
    <row r="68" spans="1:13">
      <c r="A68" s="124"/>
      <c r="B68" s="123"/>
      <c r="C68" s="134"/>
      <c r="D68" s="435"/>
      <c r="E68" s="134"/>
    </row>
    <row r="69" spans="1:13">
      <c r="A69" s="257" t="s">
        <v>193</v>
      </c>
      <c r="B69" s="135">
        <f>B4+B6+B11+B19+B21+B25+B40+B44+B53+B55+B63</f>
        <v>0</v>
      </c>
      <c r="C69" s="135">
        <f>C4+C6+C11+C19+C21+C25+C40+C44+C53+C55+C63</f>
        <v>0</v>
      </c>
      <c r="D69" s="449"/>
      <c r="E69" s="135">
        <f>E4+E6+E11+E19+E21+E25+E40+E44+E53+E55+E63</f>
        <v>0</v>
      </c>
    </row>
    <row r="70" spans="1:13">
      <c r="A70" s="261"/>
      <c r="B70" s="262"/>
      <c r="C70" s="261"/>
      <c r="D70" s="450"/>
      <c r="E70" s="261"/>
    </row>
    <row r="72" spans="1:13" ht="13.5" thickBot="1"/>
    <row r="73" spans="1:13" ht="15.75" customHeight="1">
      <c r="A73" s="639" t="s">
        <v>499</v>
      </c>
      <c r="B73" s="551"/>
      <c r="C73" s="551"/>
      <c r="D73" s="551"/>
      <c r="E73" s="551"/>
      <c r="F73" s="552"/>
    </row>
    <row r="74" spans="1:13" ht="12.75" customHeight="1" thickBot="1">
      <c r="A74" s="553"/>
      <c r="B74" s="554"/>
      <c r="C74" s="554"/>
      <c r="D74" s="554"/>
      <c r="E74" s="554"/>
      <c r="F74" s="555"/>
    </row>
    <row r="75" spans="1:13" ht="29.45" customHeight="1">
      <c r="A75" s="335" t="s">
        <v>473</v>
      </c>
      <c r="B75" s="336"/>
      <c r="C75" s="336"/>
      <c r="D75" s="451"/>
      <c r="E75" s="558"/>
      <c r="F75" s="561" t="s">
        <v>251</v>
      </c>
      <c r="G75" s="560"/>
      <c r="H75" s="559"/>
      <c r="I75" s="496" t="s">
        <v>178</v>
      </c>
      <c r="J75" s="496"/>
      <c r="K75" s="496"/>
      <c r="L75" s="496"/>
    </row>
    <row r="76" spans="1:13" ht="63">
      <c r="A76" s="98" t="s">
        <v>57</v>
      </c>
      <c r="B76" s="98" t="s">
        <v>186</v>
      </c>
      <c r="C76" s="98" t="s">
        <v>176</v>
      </c>
      <c r="D76" s="452" t="s">
        <v>175</v>
      </c>
      <c r="E76" s="109" t="s">
        <v>174</v>
      </c>
      <c r="F76" s="150" t="s">
        <v>173</v>
      </c>
      <c r="G76" s="150" t="s">
        <v>172</v>
      </c>
      <c r="H76" s="317" t="s">
        <v>171</v>
      </c>
      <c r="I76" s="109" t="s">
        <v>174</v>
      </c>
      <c r="J76" s="109" t="s">
        <v>173</v>
      </c>
      <c r="K76" s="109" t="s">
        <v>172</v>
      </c>
      <c r="L76" s="317" t="s">
        <v>171</v>
      </c>
      <c r="M76" s="98" t="s">
        <v>170</v>
      </c>
    </row>
    <row r="77" spans="1:13" ht="15.75">
      <c r="A77" s="95"/>
      <c r="B77" s="111"/>
      <c r="C77" s="323"/>
      <c r="D77" s="453"/>
      <c r="E77" s="316"/>
      <c r="F77" s="311"/>
      <c r="G77" s="311"/>
      <c r="H77" s="315"/>
      <c r="I77" s="316"/>
      <c r="J77" s="311"/>
      <c r="K77" s="311"/>
      <c r="L77" s="315"/>
      <c r="M77" s="324"/>
    </row>
    <row r="78" spans="1:13" ht="15.75">
      <c r="A78" s="95"/>
      <c r="B78" s="111"/>
      <c r="C78" s="323"/>
      <c r="D78" s="453"/>
      <c r="E78" s="316"/>
      <c r="F78" s="311"/>
      <c r="G78" s="311"/>
      <c r="H78" s="315"/>
      <c r="I78" s="316"/>
      <c r="J78" s="311"/>
      <c r="K78" s="311"/>
      <c r="L78" s="315"/>
      <c r="M78" s="324"/>
    </row>
    <row r="79" spans="1:13" ht="15.75">
      <c r="A79" s="95"/>
      <c r="B79" s="111"/>
      <c r="C79" s="323"/>
      <c r="D79" s="453"/>
      <c r="E79" s="316"/>
      <c r="F79" s="311"/>
      <c r="G79" s="311"/>
      <c r="H79" s="315"/>
      <c r="I79" s="316"/>
      <c r="J79" s="311"/>
      <c r="K79" s="311"/>
      <c r="L79" s="315"/>
      <c r="M79" s="324"/>
    </row>
    <row r="80" spans="1:13" ht="15.75">
      <c r="A80" s="95"/>
      <c r="B80" s="111"/>
      <c r="C80" s="323"/>
      <c r="D80" s="453"/>
      <c r="E80" s="316"/>
      <c r="F80" s="311"/>
      <c r="G80" s="311"/>
      <c r="H80" s="315"/>
      <c r="I80" s="316"/>
      <c r="J80" s="311"/>
      <c r="K80" s="311"/>
      <c r="L80" s="315"/>
      <c r="M80" s="324"/>
    </row>
    <row r="81" spans="1:13" ht="15.75">
      <c r="A81" s="95"/>
      <c r="B81" s="111"/>
      <c r="C81" s="323"/>
      <c r="D81" s="453"/>
      <c r="E81" s="316"/>
      <c r="F81" s="311"/>
      <c r="G81" s="311"/>
      <c r="H81" s="315"/>
      <c r="I81" s="316"/>
      <c r="J81" s="311"/>
      <c r="K81" s="311"/>
      <c r="L81" s="315"/>
      <c r="M81" s="324"/>
    </row>
    <row r="82" spans="1:13" ht="15.75">
      <c r="A82" s="95"/>
      <c r="B82" s="111"/>
      <c r="C82" s="323"/>
      <c r="D82" s="453"/>
      <c r="E82" s="316"/>
      <c r="F82" s="311"/>
      <c r="G82" s="311"/>
      <c r="H82" s="315"/>
      <c r="I82" s="316"/>
      <c r="J82" s="311"/>
      <c r="K82" s="311"/>
      <c r="L82" s="315"/>
      <c r="M82" s="324"/>
    </row>
    <row r="83" spans="1:13" ht="15.75">
      <c r="A83" s="95"/>
      <c r="B83" s="111"/>
      <c r="C83" s="323"/>
      <c r="D83" s="453"/>
      <c r="E83" s="316"/>
      <c r="F83" s="311"/>
      <c r="G83" s="311"/>
      <c r="H83" s="315"/>
      <c r="I83" s="316"/>
      <c r="J83" s="311"/>
      <c r="K83" s="311"/>
      <c r="L83" s="315"/>
      <c r="M83" s="324"/>
    </row>
    <row r="84" spans="1:13" ht="15.75">
      <c r="A84" s="95"/>
      <c r="B84" s="111"/>
      <c r="C84" s="323"/>
      <c r="D84" s="453"/>
      <c r="E84" s="316"/>
      <c r="F84" s="311"/>
      <c r="G84" s="311"/>
      <c r="H84" s="315"/>
      <c r="I84" s="316"/>
      <c r="J84" s="311"/>
      <c r="K84" s="311"/>
      <c r="L84" s="315"/>
      <c r="M84" s="324"/>
    </row>
    <row r="85" spans="1:13" ht="15.75">
      <c r="A85" s="95"/>
      <c r="B85" s="111"/>
      <c r="C85" s="323"/>
      <c r="D85" s="453"/>
      <c r="E85" s="316"/>
      <c r="F85" s="311"/>
      <c r="G85" s="311"/>
      <c r="H85" s="315"/>
      <c r="I85" s="316"/>
      <c r="J85" s="311"/>
      <c r="K85" s="311"/>
      <c r="L85" s="315"/>
      <c r="M85" s="324"/>
    </row>
    <row r="86" spans="1:13" ht="15.75">
      <c r="A86" s="95"/>
      <c r="B86" s="111"/>
      <c r="C86" s="323"/>
      <c r="D86" s="453"/>
      <c r="E86" s="316"/>
      <c r="F86" s="311"/>
      <c r="G86" s="311"/>
      <c r="H86" s="315"/>
      <c r="I86" s="316"/>
      <c r="J86" s="311"/>
      <c r="K86" s="311"/>
      <c r="L86" s="315"/>
      <c r="M86" s="324"/>
    </row>
    <row r="87" spans="1:13" ht="15.75">
      <c r="A87" s="95"/>
      <c r="B87" s="111"/>
      <c r="C87" s="323"/>
      <c r="D87" s="453"/>
      <c r="E87" s="316"/>
      <c r="F87" s="311"/>
      <c r="G87" s="311"/>
      <c r="H87" s="315"/>
      <c r="I87" s="316"/>
      <c r="J87" s="311"/>
      <c r="K87" s="311"/>
      <c r="L87" s="315"/>
      <c r="M87" s="324"/>
    </row>
    <row r="89" spans="1:13" ht="15">
      <c r="E89" s="136">
        <f>SUM(E77:E87)</f>
        <v>0</v>
      </c>
      <c r="H89" s="137">
        <f>SUM(H77:H87)</f>
        <v>0</v>
      </c>
      <c r="I89" s="136">
        <f>SUM(I77:I87)</f>
        <v>0</v>
      </c>
      <c r="L89" s="137">
        <f>SUM(L77:L87)</f>
        <v>0</v>
      </c>
    </row>
    <row r="90" spans="1:13" ht="15">
      <c r="E90" s="153"/>
      <c r="H90" s="154"/>
      <c r="I90" s="153"/>
      <c r="L90" s="154"/>
    </row>
    <row r="91" spans="1:13" ht="29.45" customHeight="1">
      <c r="A91" s="147" t="s">
        <v>252</v>
      </c>
      <c r="E91" s="495" t="s">
        <v>250</v>
      </c>
      <c r="F91" s="495"/>
      <c r="G91" s="495"/>
      <c r="H91" s="495"/>
      <c r="I91" s="496" t="s">
        <v>178</v>
      </c>
      <c r="J91" s="496"/>
      <c r="K91" s="496"/>
      <c r="L91" s="496"/>
    </row>
    <row r="92" spans="1:13" ht="63">
      <c r="A92" s="98" t="s">
        <v>57</v>
      </c>
      <c r="B92" s="98" t="s">
        <v>186</v>
      </c>
      <c r="C92" s="98" t="s">
        <v>176</v>
      </c>
      <c r="D92" s="452" t="s">
        <v>175</v>
      </c>
      <c r="E92" s="109" t="s">
        <v>174</v>
      </c>
      <c r="F92" s="150"/>
      <c r="G92" s="150"/>
      <c r="H92" s="317" t="s">
        <v>254</v>
      </c>
      <c r="I92" s="109" t="s">
        <v>174</v>
      </c>
      <c r="J92" s="109" t="s">
        <v>173</v>
      </c>
      <c r="K92" s="109" t="s">
        <v>172</v>
      </c>
      <c r="L92" s="317" t="s">
        <v>254</v>
      </c>
      <c r="M92" s="98" t="s">
        <v>170</v>
      </c>
    </row>
    <row r="93" spans="1:13" ht="15.75">
      <c r="A93" s="95"/>
      <c r="B93" s="323"/>
      <c r="C93" s="323"/>
      <c r="D93" s="453"/>
      <c r="E93" s="316"/>
      <c r="F93" s="311"/>
      <c r="G93" s="311"/>
      <c r="H93" s="315"/>
      <c r="I93" s="316"/>
      <c r="J93" s="311"/>
      <c r="K93" s="311"/>
      <c r="L93" s="315"/>
      <c r="M93" s="324"/>
    </row>
    <row r="94" spans="1:13" ht="15.75">
      <c r="A94" s="95"/>
      <c r="B94" s="323"/>
      <c r="C94" s="323"/>
      <c r="D94" s="453"/>
      <c r="E94" s="316"/>
      <c r="F94" s="311"/>
      <c r="G94" s="311"/>
      <c r="H94" s="315"/>
      <c r="I94" s="316"/>
      <c r="J94" s="311"/>
      <c r="K94" s="311"/>
      <c r="L94" s="315"/>
      <c r="M94" s="324"/>
    </row>
    <row r="95" spans="1:13" ht="15.75">
      <c r="A95" s="95"/>
      <c r="B95" s="323"/>
      <c r="C95" s="323"/>
      <c r="D95" s="453"/>
      <c r="E95" s="316"/>
      <c r="F95" s="311"/>
      <c r="G95" s="311"/>
      <c r="H95" s="315"/>
      <c r="I95" s="316"/>
      <c r="J95" s="311"/>
      <c r="K95" s="311"/>
      <c r="L95" s="315"/>
      <c r="M95" s="324"/>
    </row>
    <row r="96" spans="1:13" ht="15.75">
      <c r="A96" s="95"/>
      <c r="B96" s="323"/>
      <c r="C96" s="323"/>
      <c r="D96" s="453"/>
      <c r="E96" s="316"/>
      <c r="F96" s="311"/>
      <c r="G96" s="312"/>
      <c r="H96" s="315"/>
      <c r="I96" s="316"/>
      <c r="J96" s="311"/>
      <c r="K96" s="311"/>
      <c r="L96" s="315"/>
      <c r="M96" s="324"/>
    </row>
    <row r="97" spans="1:13" ht="15.75">
      <c r="A97" s="95"/>
      <c r="B97" s="323"/>
      <c r="C97" s="323"/>
      <c r="D97" s="453"/>
      <c r="E97" s="316"/>
      <c r="F97" s="311"/>
      <c r="G97" s="311"/>
      <c r="H97" s="315"/>
      <c r="I97" s="316"/>
      <c r="J97" s="311"/>
      <c r="K97" s="311"/>
      <c r="L97" s="315"/>
      <c r="M97" s="324"/>
    </row>
    <row r="98" spans="1:13" ht="15.75">
      <c r="A98" s="95"/>
      <c r="B98" s="323"/>
      <c r="C98" s="323"/>
      <c r="D98" s="453"/>
      <c r="E98" s="316"/>
      <c r="F98" s="311"/>
      <c r="G98" s="312"/>
      <c r="H98" s="315"/>
      <c r="I98" s="316"/>
      <c r="J98" s="311"/>
      <c r="K98" s="311"/>
      <c r="L98" s="315"/>
      <c r="M98" s="324"/>
    </row>
    <row r="99" spans="1:13" ht="15.75">
      <c r="A99" s="95"/>
      <c r="B99" s="323"/>
      <c r="C99" s="323"/>
      <c r="D99" s="453"/>
      <c r="E99" s="316"/>
      <c r="F99" s="311"/>
      <c r="G99" s="311"/>
      <c r="H99" s="315"/>
      <c r="I99" s="316"/>
      <c r="J99" s="311"/>
      <c r="K99" s="311"/>
      <c r="L99" s="315"/>
      <c r="M99" s="324"/>
    </row>
    <row r="100" spans="1:13" ht="15.75">
      <c r="A100" s="95"/>
      <c r="B100" s="323"/>
      <c r="C100" s="323"/>
      <c r="D100" s="453"/>
      <c r="E100" s="316"/>
      <c r="F100" s="311"/>
      <c r="G100" s="311"/>
      <c r="H100" s="315"/>
      <c r="I100" s="316"/>
      <c r="J100" s="311"/>
      <c r="K100" s="311"/>
      <c r="L100" s="315"/>
      <c r="M100" s="324"/>
    </row>
    <row r="101" spans="1:13" ht="15.75">
      <c r="A101" s="95"/>
      <c r="B101" s="323"/>
      <c r="C101" s="323"/>
      <c r="D101" s="453"/>
      <c r="E101" s="316"/>
      <c r="F101" s="311"/>
      <c r="G101" s="311"/>
      <c r="H101" s="315"/>
      <c r="I101" s="316"/>
      <c r="J101" s="311"/>
      <c r="K101" s="311"/>
      <c r="L101" s="315"/>
      <c r="M101" s="324"/>
    </row>
    <row r="102" spans="1:13" ht="15.75">
      <c r="A102" s="95"/>
      <c r="B102" s="323"/>
      <c r="C102" s="323"/>
      <c r="D102" s="453"/>
      <c r="E102" s="316"/>
      <c r="F102" s="311"/>
      <c r="G102" s="311"/>
      <c r="H102" s="315"/>
      <c r="I102" s="316"/>
      <c r="J102" s="311"/>
      <c r="K102" s="311"/>
      <c r="L102" s="315"/>
      <c r="M102" s="324"/>
    </row>
    <row r="103" spans="1:13" ht="15.75">
      <c r="A103" s="95"/>
      <c r="B103" s="323"/>
      <c r="C103" s="323"/>
      <c r="D103" s="453"/>
      <c r="E103" s="316"/>
      <c r="F103" s="311"/>
      <c r="G103" s="311"/>
      <c r="H103" s="315"/>
      <c r="I103" s="316"/>
      <c r="J103" s="311"/>
      <c r="K103" s="311"/>
      <c r="L103" s="315"/>
      <c r="M103" s="324"/>
    </row>
    <row r="105" spans="1:13" ht="15">
      <c r="E105" s="136">
        <f>SUM(E93:E103)</f>
        <v>0</v>
      </c>
      <c r="H105" s="137">
        <f>SUM(H93:H103)</f>
        <v>0</v>
      </c>
      <c r="I105" s="136">
        <f>SUM(I93:I103)</f>
        <v>0</v>
      </c>
      <c r="L105" s="137">
        <f>SUM(L93:L103)</f>
        <v>0</v>
      </c>
    </row>
    <row r="106" spans="1:13" ht="15">
      <c r="E106" s="153"/>
      <c r="H106" s="154"/>
      <c r="I106" s="153"/>
      <c r="L106" s="154"/>
    </row>
    <row r="107" spans="1:13" ht="105.75">
      <c r="A107" s="335" t="s">
        <v>433</v>
      </c>
      <c r="B107" s="376" t="s">
        <v>434</v>
      </c>
      <c r="C107" s="376" t="s">
        <v>435</v>
      </c>
      <c r="D107" s="454" t="s">
        <v>436</v>
      </c>
      <c r="E107" s="376" t="s">
        <v>437</v>
      </c>
      <c r="F107" s="376" t="s">
        <v>438</v>
      </c>
      <c r="G107" s="377" t="s">
        <v>436</v>
      </c>
      <c r="H107" s="153"/>
      <c r="I107" s="153"/>
      <c r="L107" s="154"/>
    </row>
    <row r="108" spans="1:13" ht="15.75">
      <c r="A108" s="98" t="s">
        <v>439</v>
      </c>
      <c r="B108" s="317" t="s">
        <v>440</v>
      </c>
      <c r="C108" s="317" t="s">
        <v>440</v>
      </c>
      <c r="D108" s="455"/>
      <c r="E108" s="317" t="s">
        <v>440</v>
      </c>
      <c r="F108" s="317" t="s">
        <v>440</v>
      </c>
      <c r="G108" s="317"/>
      <c r="H108" s="98" t="s">
        <v>170</v>
      </c>
      <c r="I108" s="153"/>
      <c r="L108" s="154"/>
    </row>
    <row r="109" spans="1:13" ht="15.75">
      <c r="A109" s="95" t="s">
        <v>441</v>
      </c>
      <c r="B109" s="315"/>
      <c r="C109" s="315"/>
      <c r="D109" s="378" t="str">
        <f>IFERROR(C109/B109,"")</f>
        <v/>
      </c>
      <c r="E109" s="315"/>
      <c r="F109" s="315"/>
      <c r="G109" s="378" t="str">
        <f>IFERROR(F109/E109,"")</f>
        <v/>
      </c>
      <c r="H109" s="324"/>
      <c r="I109" s="153"/>
      <c r="L109" s="154"/>
    </row>
    <row r="110" spans="1:13" ht="15.75">
      <c r="A110" s="95" t="s">
        <v>442</v>
      </c>
      <c r="B110" s="315"/>
      <c r="C110" s="315"/>
      <c r="D110" s="378" t="str">
        <f t="shared" ref="D110:D119" si="6">IFERROR(C110/B110,"")</f>
        <v/>
      </c>
      <c r="E110" s="315"/>
      <c r="F110" s="315"/>
      <c r="G110" s="378" t="str">
        <f t="shared" ref="G110:G119" si="7">IFERROR(F110/E110,"")</f>
        <v/>
      </c>
      <c r="H110" s="324"/>
      <c r="I110" s="153"/>
      <c r="L110" s="154"/>
    </row>
    <row r="111" spans="1:13" ht="15.75">
      <c r="A111" s="95"/>
      <c r="B111" s="315"/>
      <c r="C111" s="315"/>
      <c r="D111" s="378" t="str">
        <f t="shared" si="6"/>
        <v/>
      </c>
      <c r="E111" s="315"/>
      <c r="F111" s="315"/>
      <c r="G111" s="378" t="str">
        <f t="shared" si="7"/>
        <v/>
      </c>
      <c r="H111" s="324"/>
      <c r="I111" s="153"/>
      <c r="L111" s="154"/>
    </row>
    <row r="112" spans="1:13" ht="15.75">
      <c r="A112" s="95"/>
      <c r="B112" s="315"/>
      <c r="C112" s="315"/>
      <c r="D112" s="378" t="str">
        <f t="shared" si="6"/>
        <v/>
      </c>
      <c r="E112" s="315"/>
      <c r="F112" s="315"/>
      <c r="G112" s="378"/>
      <c r="H112" s="324"/>
      <c r="I112" s="153"/>
      <c r="L112" s="154"/>
    </row>
    <row r="113" spans="1:12" ht="15.75">
      <c r="A113" s="95"/>
      <c r="B113" s="315"/>
      <c r="C113" s="315"/>
      <c r="D113" s="378" t="str">
        <f t="shared" si="6"/>
        <v/>
      </c>
      <c r="E113" s="315"/>
      <c r="F113" s="315"/>
      <c r="G113" s="378" t="str">
        <f t="shared" si="7"/>
        <v/>
      </c>
      <c r="H113" s="324"/>
      <c r="I113" s="153"/>
      <c r="L113" s="154"/>
    </row>
    <row r="114" spans="1:12" ht="15.75">
      <c r="A114" s="95"/>
      <c r="B114" s="315"/>
      <c r="C114" s="315"/>
      <c r="D114" s="378" t="str">
        <f t="shared" si="6"/>
        <v/>
      </c>
      <c r="E114" s="315"/>
      <c r="F114" s="315"/>
      <c r="G114" s="378" t="str">
        <f t="shared" si="7"/>
        <v/>
      </c>
      <c r="H114" s="324"/>
      <c r="I114" s="153"/>
      <c r="L114" s="154"/>
    </row>
    <row r="115" spans="1:12" ht="15.75">
      <c r="A115" s="95"/>
      <c r="B115" s="315"/>
      <c r="C115" s="315"/>
      <c r="D115" s="378" t="str">
        <f t="shared" si="6"/>
        <v/>
      </c>
      <c r="E115" s="315"/>
      <c r="F115" s="315"/>
      <c r="G115" s="378" t="str">
        <f t="shared" si="7"/>
        <v/>
      </c>
      <c r="H115" s="324"/>
      <c r="I115" s="153"/>
      <c r="L115" s="154"/>
    </row>
    <row r="116" spans="1:12" ht="15.75">
      <c r="A116" s="95"/>
      <c r="B116" s="315"/>
      <c r="C116" s="315"/>
      <c r="D116" s="378" t="str">
        <f t="shared" si="6"/>
        <v/>
      </c>
      <c r="E116" s="315"/>
      <c r="F116" s="315"/>
      <c r="G116" s="378" t="str">
        <f t="shared" si="7"/>
        <v/>
      </c>
      <c r="H116" s="324"/>
      <c r="I116" s="153"/>
      <c r="L116" s="154"/>
    </row>
    <row r="117" spans="1:12" ht="15.75">
      <c r="A117" s="95"/>
      <c r="B117" s="315"/>
      <c r="C117" s="315"/>
      <c r="D117" s="378" t="str">
        <f t="shared" si="6"/>
        <v/>
      </c>
      <c r="E117" s="315"/>
      <c r="F117" s="315"/>
      <c r="G117" s="378" t="str">
        <f t="shared" si="7"/>
        <v/>
      </c>
      <c r="H117" s="324"/>
      <c r="I117" s="153"/>
      <c r="L117" s="154"/>
    </row>
    <row r="118" spans="1:12" ht="15.75">
      <c r="A118" s="95"/>
      <c r="B118" s="315"/>
      <c r="C118" s="315"/>
      <c r="D118" s="378" t="str">
        <f t="shared" si="6"/>
        <v/>
      </c>
      <c r="E118" s="315"/>
      <c r="F118" s="315"/>
      <c r="G118" s="378" t="str">
        <f t="shared" si="7"/>
        <v/>
      </c>
      <c r="H118" s="324"/>
      <c r="I118" s="153"/>
      <c r="L118" s="154"/>
    </row>
    <row r="119" spans="1:12" ht="15.75">
      <c r="A119" s="95"/>
      <c r="B119" s="315"/>
      <c r="C119" s="315"/>
      <c r="D119" s="378" t="str">
        <f t="shared" si="6"/>
        <v/>
      </c>
      <c r="E119" s="315"/>
      <c r="F119" s="315"/>
      <c r="G119" s="378" t="str">
        <f t="shared" si="7"/>
        <v/>
      </c>
      <c r="H119" s="324"/>
      <c r="I119" s="153"/>
      <c r="L119" s="154"/>
    </row>
    <row r="120" spans="1:12" ht="15">
      <c r="B120" s="137">
        <f>SUM(B109:B119)</f>
        <v>0</v>
      </c>
      <c r="C120" s="137">
        <f>SUM(C109:C119)</f>
        <v>0</v>
      </c>
      <c r="E120" s="136">
        <f>SUM(E109:E119)</f>
        <v>0</v>
      </c>
      <c r="F120" s="379">
        <f>SUM(F109:F119)</f>
        <v>0</v>
      </c>
      <c r="H120" s="154"/>
      <c r="I120" s="153"/>
      <c r="L120" s="154"/>
    </row>
    <row r="121" spans="1:12" ht="15.75" thickBot="1">
      <c r="E121" s="153"/>
      <c r="H121" s="154"/>
      <c r="I121" s="153"/>
      <c r="L121" s="154"/>
    </row>
    <row r="122" spans="1:12">
      <c r="A122" s="138" t="s">
        <v>192</v>
      </c>
      <c r="B122" s="139"/>
    </row>
    <row r="123" spans="1:12">
      <c r="A123" s="140"/>
      <c r="B123" s="141"/>
    </row>
    <row r="124" spans="1:12">
      <c r="A124" s="142" t="s">
        <v>191</v>
      </c>
      <c r="B124" s="329"/>
    </row>
    <row r="125" spans="1:12">
      <c r="A125" s="142" t="s">
        <v>190</v>
      </c>
      <c r="B125" s="329"/>
    </row>
    <row r="126" spans="1:12">
      <c r="A126" s="142" t="s">
        <v>189</v>
      </c>
      <c r="B126" s="329"/>
    </row>
    <row r="127" spans="1:12" ht="13.5" thickBot="1">
      <c r="A127" s="143"/>
      <c r="B127" s="144"/>
    </row>
    <row r="128" spans="1:12" ht="14.25" thickTop="1" thickBot="1">
      <c r="A128" s="145" t="s">
        <v>188</v>
      </c>
      <c r="B128" s="146">
        <f>SUM(B124:B126)</f>
        <v>0</v>
      </c>
    </row>
  </sheetData>
  <mergeCells count="3">
    <mergeCell ref="E91:H91"/>
    <mergeCell ref="I91:L91"/>
    <mergeCell ref="I75:L75"/>
  </mergeCells>
  <dataValidations count="1">
    <dataValidation type="decimal" allowBlank="1" showInputMessage="1" showErrorMessage="1" errorTitle="Falsche Eingabe!" error="Wert muss größer 0 und kleiner gleich 1 sein!" sqref="I77:I87 E77:E87 E93:E103 I93:I103" xr:uid="{00000000-0002-0000-0500-000000000000}">
      <formula1>0.01</formula1>
      <formula2>1</formula2>
    </dataValidation>
  </dataValidations>
  <pageMargins left="0.25" right="0.25" top="0.75" bottom="0.75" header="0.3" footer="0.3"/>
  <pageSetup paperSize="9" scale="43"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xr:uid="{00000000-0002-0000-0500-000001000000}">
          <x14:formula1>
            <xm:f>Listen!$C$1:$C$7</xm:f>
          </x14:formula1>
          <xm:sqref>C77:C87</xm:sqref>
        </x14:dataValidation>
        <x14:dataValidation type="list" allowBlank="1" showInputMessage="1" xr:uid="{00000000-0002-0000-0500-000002000000}">
          <x14:formula1>
            <xm:f>Listen!$K$1:$K$5</xm:f>
          </x14:formula1>
          <xm:sqref>B93:B103</xm:sqref>
        </x14:dataValidation>
        <x14:dataValidation type="list" allowBlank="1" showInputMessage="1" showErrorMessage="1" xr:uid="{00000000-0002-0000-0500-000003000000}">
          <x14:formula1>
            <xm:f>Listen!$N$2:$N$5</xm:f>
          </x14:formula1>
          <xm:sqref>B77:B87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K70"/>
  <sheetViews>
    <sheetView zoomScaleNormal="100" workbookViewId="0">
      <selection activeCell="N8" sqref="N8"/>
    </sheetView>
  </sheetViews>
  <sheetFormatPr baseColWidth="10" defaultRowHeight="15.75"/>
  <cols>
    <col min="1" max="1" width="15.5" customWidth="1"/>
    <col min="2" max="5" width="7.875" customWidth="1"/>
    <col min="6" max="6" width="7.5" customWidth="1"/>
    <col min="7" max="8" width="7.875" customWidth="1"/>
    <col min="9" max="9" width="10.5" customWidth="1"/>
    <col min="10" max="10" width="15.5" bestFit="1" customWidth="1"/>
    <col min="11" max="11" width="5.375" style="640" customWidth="1"/>
  </cols>
  <sheetData>
    <row r="1" spans="1:11" ht="23.25">
      <c r="A1" s="575"/>
      <c r="B1" s="576"/>
      <c r="C1" s="576"/>
      <c r="D1" s="576" t="s">
        <v>133</v>
      </c>
      <c r="E1" s="576"/>
      <c r="F1" s="576"/>
      <c r="G1" s="576"/>
      <c r="H1" s="576"/>
      <c r="I1" s="576"/>
      <c r="J1" s="577"/>
    </row>
    <row r="3" spans="1:11">
      <c r="A3" s="572"/>
      <c r="B3" s="573"/>
      <c r="C3" s="573"/>
      <c r="D3" s="573"/>
      <c r="E3" s="573" t="s">
        <v>129</v>
      </c>
      <c r="F3" s="573"/>
      <c r="G3" s="573"/>
      <c r="H3" s="573"/>
      <c r="I3" s="573"/>
      <c r="J3" s="574"/>
    </row>
    <row r="5" spans="1:11">
      <c r="A5" s="63" t="s">
        <v>116</v>
      </c>
      <c r="B5" s="62">
        <v>1250</v>
      </c>
      <c r="D5" s="562" t="s">
        <v>134</v>
      </c>
      <c r="E5" s="562"/>
      <c r="F5" s="562"/>
      <c r="G5" s="562"/>
      <c r="H5" s="562"/>
      <c r="I5" s="562"/>
      <c r="J5" s="562"/>
    </row>
    <row r="6" spans="1:11">
      <c r="A6" s="63" t="s">
        <v>117</v>
      </c>
      <c r="B6" s="303"/>
      <c r="D6" s="563"/>
      <c r="E6" s="564"/>
      <c r="F6" s="564"/>
      <c r="G6" s="564"/>
      <c r="H6" s="564"/>
      <c r="I6" s="564"/>
      <c r="J6" s="565"/>
    </row>
    <row r="7" spans="1:11" ht="31.5">
      <c r="A7" s="27" t="s">
        <v>137</v>
      </c>
      <c r="B7" s="303"/>
      <c r="D7" s="566"/>
      <c r="E7" s="567"/>
      <c r="F7" s="567"/>
      <c r="G7" s="567"/>
      <c r="H7" s="567"/>
      <c r="I7" s="567"/>
      <c r="J7" s="568"/>
    </row>
    <row r="8" spans="1:11" ht="47.25">
      <c r="A8" s="27" t="s">
        <v>138</v>
      </c>
      <c r="B8" s="28" t="e">
        <f>"1:"&amp;Klienten/'3a. Vorhalt Tag'!B7</f>
        <v>#DIV/0!</v>
      </c>
      <c r="C8" s="82" t="s">
        <v>30</v>
      </c>
      <c r="D8" s="569"/>
      <c r="E8" s="570"/>
      <c r="F8" s="570"/>
      <c r="G8" s="570"/>
      <c r="H8" s="570"/>
      <c r="I8" s="570"/>
      <c r="J8" s="571"/>
    </row>
    <row r="10" spans="1:11">
      <c r="A10" s="4"/>
      <c r="B10" s="5" t="s">
        <v>81</v>
      </c>
      <c r="C10" s="5" t="s">
        <v>82</v>
      </c>
      <c r="D10" s="5" t="s">
        <v>83</v>
      </c>
      <c r="E10" s="5" t="s">
        <v>84</v>
      </c>
      <c r="F10" s="5" t="s">
        <v>85</v>
      </c>
      <c r="G10" s="5" t="s">
        <v>86</v>
      </c>
      <c r="H10" s="5" t="s">
        <v>87</v>
      </c>
      <c r="I10" s="5" t="s">
        <v>15</v>
      </c>
      <c r="J10" s="5"/>
    </row>
    <row r="11" spans="1:11">
      <c r="A11" s="5" t="s">
        <v>88</v>
      </c>
      <c r="B11" s="302"/>
      <c r="C11" s="302"/>
      <c r="D11" s="302"/>
      <c r="E11" s="302"/>
      <c r="F11" s="302"/>
      <c r="G11" s="302"/>
      <c r="H11" s="302"/>
      <c r="I11" s="4"/>
      <c r="J11" s="75" t="s">
        <v>150</v>
      </c>
      <c r="K11" s="640">
        <f>COUNTIF(B11:H11,"&lt;&gt;")</f>
        <v>0</v>
      </c>
    </row>
    <row r="12" spans="1:11">
      <c r="A12" s="5" t="s">
        <v>89</v>
      </c>
      <c r="B12" s="302"/>
      <c r="C12" s="302"/>
      <c r="D12" s="302"/>
      <c r="E12" s="302"/>
      <c r="F12" s="302"/>
      <c r="G12" s="302"/>
      <c r="H12" s="302"/>
      <c r="I12" s="4"/>
      <c r="J12" s="75" t="s">
        <v>150</v>
      </c>
    </row>
    <row r="13" spans="1:11">
      <c r="A13" s="5" t="s">
        <v>90</v>
      </c>
      <c r="B13" s="42">
        <f>B12-B11</f>
        <v>0</v>
      </c>
      <c r="C13" s="42">
        <f t="shared" ref="C13:H13" si="0">C12-C11</f>
        <v>0</v>
      </c>
      <c r="D13" s="42">
        <f t="shared" si="0"/>
        <v>0</v>
      </c>
      <c r="E13" s="42">
        <f t="shared" si="0"/>
        <v>0</v>
      </c>
      <c r="F13" s="42">
        <f t="shared" si="0"/>
        <v>0</v>
      </c>
      <c r="G13" s="42">
        <f t="shared" si="0"/>
        <v>0</v>
      </c>
      <c r="H13" s="42">
        <f t="shared" si="0"/>
        <v>0</v>
      </c>
      <c r="I13" s="43">
        <f>SUM(B13:H13)</f>
        <v>0</v>
      </c>
      <c r="J13" s="3" t="s">
        <v>113</v>
      </c>
    </row>
    <row r="14" spans="1:11">
      <c r="I14" s="44">
        <f>IFERROR(ROUND(I13/K11*$B$6*24/$B$5,2)*B7,0)</f>
        <v>0</v>
      </c>
      <c r="J14" s="3" t="s">
        <v>114</v>
      </c>
    </row>
    <row r="16" spans="1:11">
      <c r="A16" s="572"/>
      <c r="B16" s="573"/>
      <c r="C16" s="573"/>
      <c r="D16" s="573"/>
      <c r="E16" s="573" t="s">
        <v>130</v>
      </c>
      <c r="F16" s="573"/>
      <c r="G16" s="573"/>
      <c r="H16" s="573"/>
      <c r="I16" s="573"/>
      <c r="J16" s="574"/>
    </row>
    <row r="18" spans="1:11">
      <c r="A18" s="63" t="s">
        <v>116</v>
      </c>
      <c r="B18" s="62">
        <v>1250</v>
      </c>
      <c r="D18" s="562" t="s">
        <v>134</v>
      </c>
      <c r="E18" s="562"/>
      <c r="F18" s="562"/>
      <c r="G18" s="562"/>
      <c r="H18" s="562"/>
      <c r="I18" s="562"/>
      <c r="J18" s="562"/>
    </row>
    <row r="19" spans="1:11">
      <c r="A19" s="63" t="s">
        <v>117</v>
      </c>
      <c r="B19" s="303"/>
      <c r="D19" s="563"/>
      <c r="E19" s="564"/>
      <c r="F19" s="564"/>
      <c r="G19" s="564"/>
      <c r="H19" s="564"/>
      <c r="I19" s="564"/>
      <c r="J19" s="565"/>
    </row>
    <row r="20" spans="1:11" ht="31.5">
      <c r="A20" s="27" t="s">
        <v>137</v>
      </c>
      <c r="B20" s="303"/>
      <c r="D20" s="566"/>
      <c r="E20" s="567"/>
      <c r="F20" s="567"/>
      <c r="G20" s="567"/>
      <c r="H20" s="567"/>
      <c r="I20" s="567"/>
      <c r="J20" s="568"/>
    </row>
    <row r="21" spans="1:11" ht="47.25">
      <c r="A21" s="27" t="s">
        <v>138</v>
      </c>
      <c r="B21" s="28" t="e">
        <f>"1:"&amp;Klienten/'3a. Vorhalt Tag'!B20</f>
        <v>#DIV/0!</v>
      </c>
      <c r="C21" s="82" t="s">
        <v>30</v>
      </c>
      <c r="D21" s="569"/>
      <c r="E21" s="570"/>
      <c r="F21" s="570"/>
      <c r="G21" s="570"/>
      <c r="H21" s="570"/>
      <c r="I21" s="570"/>
      <c r="J21" s="571"/>
    </row>
    <row r="23" spans="1:11">
      <c r="A23" s="4"/>
      <c r="B23" s="5" t="s">
        <v>81</v>
      </c>
      <c r="C23" s="5" t="s">
        <v>82</v>
      </c>
      <c r="D23" s="5" t="s">
        <v>83</v>
      </c>
      <c r="E23" s="5" t="s">
        <v>84</v>
      </c>
      <c r="F23" s="5" t="s">
        <v>85</v>
      </c>
      <c r="G23" s="5" t="s">
        <v>86</v>
      </c>
      <c r="H23" s="5" t="s">
        <v>87</v>
      </c>
      <c r="I23" s="5" t="s">
        <v>15</v>
      </c>
      <c r="J23" s="5"/>
    </row>
    <row r="24" spans="1:11">
      <c r="A24" s="5" t="s">
        <v>88</v>
      </c>
      <c r="B24" s="302"/>
      <c r="C24" s="302"/>
      <c r="D24" s="302"/>
      <c r="E24" s="302"/>
      <c r="F24" s="302"/>
      <c r="G24" s="302"/>
      <c r="H24" s="302"/>
      <c r="I24" s="4"/>
      <c r="J24" s="75" t="s">
        <v>150</v>
      </c>
      <c r="K24" s="640">
        <f>COUNTIF(B24:H24,"&lt;&gt;")</f>
        <v>0</v>
      </c>
    </row>
    <row r="25" spans="1:11">
      <c r="A25" s="5" t="s">
        <v>89</v>
      </c>
      <c r="B25" s="302"/>
      <c r="C25" s="302"/>
      <c r="D25" s="302"/>
      <c r="E25" s="302"/>
      <c r="F25" s="302"/>
      <c r="G25" s="302"/>
      <c r="H25" s="302"/>
      <c r="I25" s="4"/>
      <c r="J25" s="75" t="s">
        <v>150</v>
      </c>
    </row>
    <row r="26" spans="1:11">
      <c r="A26" s="5" t="s">
        <v>90</v>
      </c>
      <c r="B26" s="42">
        <f t="shared" ref="B26:H26" si="1">B25-B24</f>
        <v>0</v>
      </c>
      <c r="C26" s="42">
        <f t="shared" si="1"/>
        <v>0</v>
      </c>
      <c r="D26" s="42">
        <f t="shared" si="1"/>
        <v>0</v>
      </c>
      <c r="E26" s="42">
        <f t="shared" si="1"/>
        <v>0</v>
      </c>
      <c r="F26" s="42">
        <f t="shared" si="1"/>
        <v>0</v>
      </c>
      <c r="G26" s="42">
        <f t="shared" si="1"/>
        <v>0</v>
      </c>
      <c r="H26" s="42">
        <f t="shared" si="1"/>
        <v>0</v>
      </c>
      <c r="I26" s="43">
        <f>SUM(B26:H26)</f>
        <v>0</v>
      </c>
      <c r="J26" s="3" t="s">
        <v>113</v>
      </c>
    </row>
    <row r="27" spans="1:11">
      <c r="I27" s="44">
        <f>IFERROR(ROUND(I26/K24*$B$19*24/$B$18,2)*B20,0)</f>
        <v>0</v>
      </c>
      <c r="J27" s="3" t="s">
        <v>114</v>
      </c>
    </row>
    <row r="29" spans="1:11">
      <c r="A29" s="572"/>
      <c r="B29" s="573"/>
      <c r="C29" s="573"/>
      <c r="D29" s="573"/>
      <c r="E29" s="573" t="s">
        <v>351</v>
      </c>
      <c r="F29" s="573"/>
      <c r="G29" s="573"/>
      <c r="H29" s="573"/>
      <c r="I29" s="573"/>
      <c r="J29" s="574"/>
    </row>
    <row r="31" spans="1:11">
      <c r="A31" s="63" t="s">
        <v>116</v>
      </c>
      <c r="B31" s="62">
        <v>1250</v>
      </c>
      <c r="D31" s="562" t="s">
        <v>134</v>
      </c>
      <c r="E31" s="562"/>
      <c r="F31" s="562"/>
      <c r="G31" s="562"/>
      <c r="H31" s="562"/>
      <c r="I31" s="562"/>
      <c r="J31" s="562"/>
    </row>
    <row r="32" spans="1:11">
      <c r="A32" s="63" t="s">
        <v>117</v>
      </c>
      <c r="B32" s="303"/>
      <c r="D32" s="563"/>
      <c r="E32" s="564"/>
      <c r="F32" s="564"/>
      <c r="G32" s="564"/>
      <c r="H32" s="564"/>
      <c r="I32" s="564"/>
      <c r="J32" s="565"/>
    </row>
    <row r="33" spans="1:11" ht="31.5">
      <c r="A33" s="27" t="s">
        <v>137</v>
      </c>
      <c r="B33" s="303"/>
      <c r="D33" s="566"/>
      <c r="E33" s="567"/>
      <c r="F33" s="567"/>
      <c r="G33" s="567"/>
      <c r="H33" s="567"/>
      <c r="I33" s="567"/>
      <c r="J33" s="568"/>
    </row>
    <row r="34" spans="1:11" ht="54" customHeight="1">
      <c r="A34" s="27" t="s">
        <v>138</v>
      </c>
      <c r="B34" s="28" t="e">
        <f>"1:"&amp;Klienten/'3a. Vorhalt Tag'!B33</f>
        <v>#DIV/0!</v>
      </c>
      <c r="C34" s="82" t="s">
        <v>30</v>
      </c>
      <c r="D34" s="569"/>
      <c r="E34" s="570"/>
      <c r="F34" s="570"/>
      <c r="G34" s="570"/>
      <c r="H34" s="570"/>
      <c r="I34" s="570"/>
      <c r="J34" s="571"/>
    </row>
    <row r="36" spans="1:11">
      <c r="A36" s="4"/>
      <c r="B36" s="5" t="s">
        <v>81</v>
      </c>
      <c r="C36" s="5" t="s">
        <v>82</v>
      </c>
      <c r="D36" s="5" t="s">
        <v>83</v>
      </c>
      <c r="E36" s="5" t="s">
        <v>84</v>
      </c>
      <c r="F36" s="5" t="s">
        <v>85</v>
      </c>
      <c r="G36" s="5" t="s">
        <v>86</v>
      </c>
      <c r="H36" s="5" t="s">
        <v>87</v>
      </c>
      <c r="I36" s="5" t="s">
        <v>15</v>
      </c>
      <c r="J36" s="5"/>
    </row>
    <row r="37" spans="1:11">
      <c r="A37" s="5" t="s">
        <v>88</v>
      </c>
      <c r="B37" s="302"/>
      <c r="C37" s="302"/>
      <c r="D37" s="302"/>
      <c r="E37" s="302"/>
      <c r="F37" s="302"/>
      <c r="G37" s="302"/>
      <c r="H37" s="302"/>
      <c r="I37" s="4"/>
      <c r="J37" s="75" t="s">
        <v>150</v>
      </c>
      <c r="K37" s="640">
        <f>COUNTIF(B37:H37,"&lt;&gt;")</f>
        <v>0</v>
      </c>
    </row>
    <row r="38" spans="1:11">
      <c r="A38" s="5" t="s">
        <v>89</v>
      </c>
      <c r="B38" s="302"/>
      <c r="C38" s="302"/>
      <c r="D38" s="302"/>
      <c r="E38" s="302"/>
      <c r="F38" s="302"/>
      <c r="G38" s="302"/>
      <c r="H38" s="302"/>
      <c r="I38" s="4"/>
      <c r="J38" s="75" t="s">
        <v>150</v>
      </c>
    </row>
    <row r="39" spans="1:11">
      <c r="A39" s="5" t="s">
        <v>90</v>
      </c>
      <c r="B39" s="42">
        <f>B38-B37</f>
        <v>0</v>
      </c>
      <c r="C39" s="42">
        <f t="shared" ref="C39:H39" si="2">C38-C37</f>
        <v>0</v>
      </c>
      <c r="D39" s="42">
        <f t="shared" si="2"/>
        <v>0</v>
      </c>
      <c r="E39" s="42">
        <f t="shared" si="2"/>
        <v>0</v>
      </c>
      <c r="F39" s="42">
        <f t="shared" si="2"/>
        <v>0</v>
      </c>
      <c r="G39" s="42">
        <f t="shared" si="2"/>
        <v>0</v>
      </c>
      <c r="H39" s="42">
        <f t="shared" si="2"/>
        <v>0</v>
      </c>
      <c r="I39" s="43">
        <f>SUM(B39:H39)</f>
        <v>0</v>
      </c>
      <c r="J39" s="3" t="s">
        <v>113</v>
      </c>
    </row>
    <row r="40" spans="1:11">
      <c r="I40" s="44">
        <f>IFERROR(ROUND(I39/K37*$B$32*24/$B$31,2)*B33,0)</f>
        <v>0</v>
      </c>
      <c r="J40" s="3" t="s">
        <v>114</v>
      </c>
    </row>
    <row r="42" spans="1:11">
      <c r="A42" s="572"/>
      <c r="B42" s="573"/>
      <c r="C42" s="573"/>
      <c r="D42" s="573"/>
      <c r="E42" s="573" t="s">
        <v>352</v>
      </c>
      <c r="F42" s="573"/>
      <c r="G42" s="573"/>
      <c r="H42" s="573"/>
      <c r="I42" s="573"/>
      <c r="J42" s="574"/>
    </row>
    <row r="44" spans="1:11">
      <c r="A44" s="63" t="s">
        <v>116</v>
      </c>
      <c r="B44" s="62">
        <v>1250</v>
      </c>
      <c r="D44" s="474" t="s">
        <v>134</v>
      </c>
      <c r="E44" s="474"/>
      <c r="F44" s="474"/>
      <c r="G44" s="474"/>
      <c r="H44" s="474"/>
      <c r="I44" s="474"/>
      <c r="J44" s="474"/>
    </row>
    <row r="45" spans="1:11">
      <c r="A45" s="63" t="s">
        <v>117</v>
      </c>
      <c r="B45" s="303"/>
      <c r="D45" s="563"/>
      <c r="E45" s="564"/>
      <c r="F45" s="564"/>
      <c r="G45" s="564"/>
      <c r="H45" s="564"/>
      <c r="I45" s="564"/>
      <c r="J45" s="565"/>
    </row>
    <row r="46" spans="1:11" ht="31.5">
      <c r="A46" s="27" t="s">
        <v>137</v>
      </c>
      <c r="B46" s="303"/>
      <c r="D46" s="566"/>
      <c r="E46" s="567"/>
      <c r="F46" s="567"/>
      <c r="G46" s="567"/>
      <c r="H46" s="567"/>
      <c r="I46" s="567"/>
      <c r="J46" s="568"/>
    </row>
    <row r="47" spans="1:11" ht="53.1" customHeight="1">
      <c r="A47" s="27" t="s">
        <v>138</v>
      </c>
      <c r="B47" s="28" t="e">
        <f>"1:"&amp;Klienten/'3a. Vorhalt Tag'!B46</f>
        <v>#DIV/0!</v>
      </c>
      <c r="C47" s="82" t="s">
        <v>30</v>
      </c>
      <c r="D47" s="569"/>
      <c r="E47" s="570"/>
      <c r="F47" s="570"/>
      <c r="G47" s="570"/>
      <c r="H47" s="570"/>
      <c r="I47" s="570"/>
      <c r="J47" s="571"/>
    </row>
    <row r="49" spans="1:11">
      <c r="A49" s="4"/>
      <c r="B49" s="5" t="s">
        <v>81</v>
      </c>
      <c r="C49" s="5" t="s">
        <v>82</v>
      </c>
      <c r="D49" s="5" t="s">
        <v>83</v>
      </c>
      <c r="E49" s="5" t="s">
        <v>84</v>
      </c>
      <c r="F49" s="5" t="s">
        <v>85</v>
      </c>
      <c r="G49" s="5" t="s">
        <v>86</v>
      </c>
      <c r="H49" s="5" t="s">
        <v>87</v>
      </c>
      <c r="I49" s="5" t="s">
        <v>15</v>
      </c>
      <c r="J49" s="5"/>
    </row>
    <row r="50" spans="1:11">
      <c r="A50" s="5" t="s">
        <v>88</v>
      </c>
      <c r="B50" s="302"/>
      <c r="C50" s="302"/>
      <c r="D50" s="302"/>
      <c r="E50" s="302"/>
      <c r="F50" s="302"/>
      <c r="G50" s="302"/>
      <c r="H50" s="302"/>
      <c r="I50" s="4"/>
      <c r="J50" s="75" t="s">
        <v>150</v>
      </c>
      <c r="K50" s="640">
        <f>COUNTIF(B50:H50,"&lt;&gt;")</f>
        <v>0</v>
      </c>
    </row>
    <row r="51" spans="1:11">
      <c r="A51" s="5" t="s">
        <v>89</v>
      </c>
      <c r="B51" s="302"/>
      <c r="C51" s="302"/>
      <c r="D51" s="302"/>
      <c r="E51" s="302"/>
      <c r="F51" s="302"/>
      <c r="G51" s="302"/>
      <c r="H51" s="302"/>
      <c r="I51" s="4"/>
      <c r="J51" s="75" t="s">
        <v>150</v>
      </c>
    </row>
    <row r="52" spans="1:11">
      <c r="A52" s="5" t="s">
        <v>90</v>
      </c>
      <c r="B52" s="42">
        <f t="shared" ref="B52:H52" si="3">B51-B50</f>
        <v>0</v>
      </c>
      <c r="C52" s="42">
        <f t="shared" si="3"/>
        <v>0</v>
      </c>
      <c r="D52" s="42">
        <f t="shared" si="3"/>
        <v>0</v>
      </c>
      <c r="E52" s="42">
        <f t="shared" si="3"/>
        <v>0</v>
      </c>
      <c r="F52" s="42">
        <f t="shared" si="3"/>
        <v>0</v>
      </c>
      <c r="G52" s="42">
        <f t="shared" si="3"/>
        <v>0</v>
      </c>
      <c r="H52" s="42">
        <f t="shared" si="3"/>
        <v>0</v>
      </c>
      <c r="I52" s="43">
        <f>SUM(B52:H52)</f>
        <v>0</v>
      </c>
      <c r="J52" s="3" t="s">
        <v>113</v>
      </c>
    </row>
    <row r="53" spans="1:11">
      <c r="I53" s="44">
        <f>IFERROR(ROUND(I52/K50*$B$45*24/$B$44,2)*B46,0)</f>
        <v>0</v>
      </c>
      <c r="J53" s="3" t="s">
        <v>114</v>
      </c>
    </row>
    <row r="55" spans="1:11">
      <c r="A55" s="572"/>
      <c r="B55" s="573"/>
      <c r="C55" s="573"/>
      <c r="D55" s="573"/>
      <c r="E55" s="573" t="s">
        <v>353</v>
      </c>
      <c r="F55" s="573"/>
      <c r="G55" s="573"/>
      <c r="H55" s="573"/>
      <c r="I55" s="573"/>
      <c r="J55" s="574"/>
    </row>
    <row r="57" spans="1:11">
      <c r="A57" s="63" t="s">
        <v>116</v>
      </c>
      <c r="B57" s="62">
        <v>1250</v>
      </c>
      <c r="D57" s="562" t="s">
        <v>134</v>
      </c>
      <c r="E57" s="562"/>
      <c r="F57" s="562"/>
      <c r="G57" s="562"/>
      <c r="H57" s="562"/>
      <c r="I57" s="562"/>
      <c r="J57" s="562"/>
    </row>
    <row r="58" spans="1:11">
      <c r="A58" s="63" t="s">
        <v>117</v>
      </c>
      <c r="B58" s="303"/>
      <c r="D58" s="563"/>
      <c r="E58" s="564"/>
      <c r="F58" s="564"/>
      <c r="G58" s="564"/>
      <c r="H58" s="564"/>
      <c r="I58" s="564"/>
      <c r="J58" s="565"/>
    </row>
    <row r="59" spans="1:11" ht="31.5">
      <c r="A59" s="27" t="s">
        <v>137</v>
      </c>
      <c r="B59" s="303"/>
      <c r="D59" s="566"/>
      <c r="E59" s="567"/>
      <c r="F59" s="567"/>
      <c r="G59" s="567"/>
      <c r="H59" s="567"/>
      <c r="I59" s="567"/>
      <c r="J59" s="568"/>
    </row>
    <row r="60" spans="1:11" ht="47.25">
      <c r="A60" s="27" t="s">
        <v>138</v>
      </c>
      <c r="B60" s="28" t="e">
        <f>"1:"&amp;Klienten/'3a. Vorhalt Tag'!B59</f>
        <v>#DIV/0!</v>
      </c>
      <c r="C60" s="82" t="s">
        <v>30</v>
      </c>
      <c r="D60" s="569"/>
      <c r="E60" s="570"/>
      <c r="F60" s="570"/>
      <c r="G60" s="570"/>
      <c r="H60" s="570"/>
      <c r="I60" s="570"/>
      <c r="J60" s="571"/>
    </row>
    <row r="62" spans="1:11">
      <c r="A62" s="4"/>
      <c r="B62" s="5" t="s">
        <v>81</v>
      </c>
      <c r="C62" s="5" t="s">
        <v>82</v>
      </c>
      <c r="D62" s="5" t="s">
        <v>83</v>
      </c>
      <c r="E62" s="5" t="s">
        <v>84</v>
      </c>
      <c r="F62" s="5" t="s">
        <v>85</v>
      </c>
      <c r="G62" s="5" t="s">
        <v>86</v>
      </c>
      <c r="H62" s="5" t="s">
        <v>87</v>
      </c>
      <c r="I62" s="5" t="s">
        <v>15</v>
      </c>
      <c r="J62" s="5"/>
    </row>
    <row r="63" spans="1:11">
      <c r="A63" s="5" t="s">
        <v>88</v>
      </c>
      <c r="B63" s="302"/>
      <c r="C63" s="302"/>
      <c r="D63" s="302"/>
      <c r="E63" s="302"/>
      <c r="F63" s="302"/>
      <c r="G63" s="302"/>
      <c r="H63" s="302"/>
      <c r="I63" s="4"/>
      <c r="J63" s="75" t="s">
        <v>150</v>
      </c>
      <c r="K63" s="640">
        <f>COUNTIF(B63:H63,"&lt;&gt;")</f>
        <v>0</v>
      </c>
    </row>
    <row r="64" spans="1:11">
      <c r="A64" s="5" t="s">
        <v>89</v>
      </c>
      <c r="B64" s="302"/>
      <c r="C64" s="302"/>
      <c r="D64" s="302"/>
      <c r="E64" s="302"/>
      <c r="F64" s="302"/>
      <c r="G64" s="302"/>
      <c r="H64" s="302"/>
      <c r="I64" s="4"/>
      <c r="J64" s="75" t="s">
        <v>150</v>
      </c>
    </row>
    <row r="65" spans="1:10">
      <c r="A65" s="5" t="s">
        <v>90</v>
      </c>
      <c r="B65" s="42">
        <f t="shared" ref="B65:H65" si="4">B64-B63</f>
        <v>0</v>
      </c>
      <c r="C65" s="42">
        <f t="shared" si="4"/>
        <v>0</v>
      </c>
      <c r="D65" s="42">
        <f t="shared" si="4"/>
        <v>0</v>
      </c>
      <c r="E65" s="42">
        <f t="shared" si="4"/>
        <v>0</v>
      </c>
      <c r="F65" s="42">
        <f t="shared" si="4"/>
        <v>0</v>
      </c>
      <c r="G65" s="42">
        <f t="shared" si="4"/>
        <v>0</v>
      </c>
      <c r="H65" s="42">
        <f t="shared" si="4"/>
        <v>0</v>
      </c>
      <c r="I65" s="43">
        <f>SUM(B65:H65)</f>
        <v>0</v>
      </c>
      <c r="J65" s="3" t="s">
        <v>113</v>
      </c>
    </row>
    <row r="66" spans="1:10">
      <c r="I66" s="44">
        <f>IFERROR(ROUND(I65/K63*$B$58*24/$B$57,2)*B59,0)</f>
        <v>0</v>
      </c>
      <c r="J66" s="3" t="s">
        <v>114</v>
      </c>
    </row>
    <row r="68" spans="1:10">
      <c r="A68" s="572"/>
      <c r="B68" s="573"/>
      <c r="C68" s="573"/>
      <c r="D68" s="573"/>
      <c r="E68" s="573" t="s">
        <v>15</v>
      </c>
      <c r="F68" s="573"/>
      <c r="G68" s="573"/>
      <c r="H68" s="573"/>
      <c r="I68" s="573"/>
      <c r="J68" s="574"/>
    </row>
    <row r="69" spans="1:10" ht="3.95" customHeight="1"/>
    <row r="70" spans="1:10">
      <c r="I70" s="44">
        <f>IFERROR(ROUND(I14+I27+I40+I53+I66,2),0)</f>
        <v>0</v>
      </c>
      <c r="J70" s="3" t="s">
        <v>15</v>
      </c>
    </row>
  </sheetData>
  <mergeCells count="1">
    <mergeCell ref="D44:J44"/>
  </mergeCells>
  <phoneticPr fontId="2" type="noConversion"/>
  <conditionalFormatting sqref="B8">
    <cfRule type="expression" dxfId="27" priority="6">
      <formula>ISERROR(B8)</formula>
    </cfRule>
  </conditionalFormatting>
  <conditionalFormatting sqref="B21">
    <cfRule type="expression" dxfId="26" priority="7">
      <formula>ISERROR(B21)</formula>
    </cfRule>
  </conditionalFormatting>
  <conditionalFormatting sqref="B34">
    <cfRule type="expression" dxfId="25" priority="10">
      <formula>ISERROR(B34)</formula>
    </cfRule>
  </conditionalFormatting>
  <conditionalFormatting sqref="B47">
    <cfRule type="expression" dxfId="24" priority="11">
      <formula>ISERROR(B47)</formula>
    </cfRule>
  </conditionalFormatting>
  <conditionalFormatting sqref="B60">
    <cfRule type="expression" dxfId="23" priority="3">
      <formula>ISERROR(B60)</formula>
    </cfRule>
  </conditionalFormatting>
  <conditionalFormatting sqref="I14">
    <cfRule type="expression" dxfId="22" priority="1">
      <formula>ISERROR(I14)</formula>
    </cfRule>
  </conditionalFormatting>
  <conditionalFormatting sqref="I27">
    <cfRule type="expression" dxfId="21" priority="5">
      <formula>ISERROR(I27)</formula>
    </cfRule>
  </conditionalFormatting>
  <conditionalFormatting sqref="I40">
    <cfRule type="expression" dxfId="20" priority="8">
      <formula>ISERROR(I40)</formula>
    </cfRule>
  </conditionalFormatting>
  <conditionalFormatting sqref="I53">
    <cfRule type="expression" dxfId="19" priority="9">
      <formula>ISERROR(I53)</formula>
    </cfRule>
  </conditionalFormatting>
  <conditionalFormatting sqref="I66">
    <cfRule type="expression" dxfId="18" priority="2">
      <formula>ISERROR(I66)</formula>
    </cfRule>
  </conditionalFormatting>
  <pageMargins left="0.7" right="0.7" top="0.78740157499999996" bottom="0.78740157499999996"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pageSetUpPr fitToPage="1"/>
  </sheetPr>
  <dimension ref="A1:K32"/>
  <sheetViews>
    <sheetView zoomScale="120" zoomScaleNormal="120" workbookViewId="0">
      <selection activeCell="K24" activeCellId="1" sqref="K11 K24"/>
    </sheetView>
  </sheetViews>
  <sheetFormatPr baseColWidth="10" defaultRowHeight="15.75"/>
  <cols>
    <col min="1" max="1" width="15.5" customWidth="1"/>
    <col min="2" max="5" width="7.875" customWidth="1"/>
    <col min="6" max="6" width="7.5" customWidth="1"/>
    <col min="7" max="8" width="7.875" customWidth="1"/>
    <col min="9" max="9" width="10.5" customWidth="1"/>
    <col min="10" max="10" width="15.5" bestFit="1" customWidth="1"/>
  </cols>
  <sheetData>
    <row r="1" spans="1:11" ht="23.25">
      <c r="A1" s="575"/>
      <c r="B1" s="576"/>
      <c r="C1" s="576"/>
      <c r="D1" s="576" t="s">
        <v>132</v>
      </c>
      <c r="E1" s="576"/>
      <c r="F1" s="576"/>
      <c r="G1" s="576"/>
      <c r="H1" s="576"/>
      <c r="I1" s="576"/>
      <c r="J1" s="577"/>
    </row>
    <row r="3" spans="1:11">
      <c r="A3" s="572"/>
      <c r="B3" s="573"/>
      <c r="C3" s="573"/>
      <c r="D3" s="573"/>
      <c r="E3" s="573" t="s">
        <v>129</v>
      </c>
      <c r="F3" s="573"/>
      <c r="G3" s="573"/>
      <c r="H3" s="573"/>
      <c r="I3" s="573"/>
      <c r="J3" s="574"/>
    </row>
    <row r="5" spans="1:11">
      <c r="A5" s="63" t="s">
        <v>116</v>
      </c>
      <c r="B5" s="62">
        <v>1250</v>
      </c>
      <c r="D5" s="562" t="s">
        <v>134</v>
      </c>
      <c r="E5" s="562"/>
      <c r="F5" s="562"/>
      <c r="G5" s="562"/>
      <c r="H5" s="562"/>
      <c r="I5" s="562"/>
      <c r="J5" s="562"/>
    </row>
    <row r="6" spans="1:11">
      <c r="A6" s="63" t="s">
        <v>117</v>
      </c>
      <c r="B6" s="303"/>
      <c r="D6" s="563"/>
      <c r="E6" s="564"/>
      <c r="F6" s="564"/>
      <c r="G6" s="564"/>
      <c r="H6" s="564"/>
      <c r="I6" s="564"/>
      <c r="J6" s="565"/>
    </row>
    <row r="7" spans="1:11" ht="31.5">
      <c r="A7" s="27" t="s">
        <v>137</v>
      </c>
      <c r="B7" s="303"/>
      <c r="D7" s="566"/>
      <c r="E7" s="567"/>
      <c r="F7" s="567"/>
      <c r="G7" s="567"/>
      <c r="H7" s="567"/>
      <c r="I7" s="567"/>
      <c r="J7" s="568"/>
    </row>
    <row r="8" spans="1:11" ht="54" customHeight="1">
      <c r="A8" s="27" t="s">
        <v>138</v>
      </c>
      <c r="B8" s="28" t="e">
        <f>"1:"&amp;Klienten/'3b. Vorhalt NachtWach'!B7</f>
        <v>#DIV/0!</v>
      </c>
      <c r="C8" s="82" t="s">
        <v>30</v>
      </c>
      <c r="D8" s="569"/>
      <c r="E8" s="570"/>
      <c r="F8" s="570"/>
      <c r="G8" s="570"/>
      <c r="H8" s="570"/>
      <c r="I8" s="570"/>
      <c r="J8" s="571"/>
    </row>
    <row r="9" spans="1:11">
      <c r="B9" s="61"/>
      <c r="C9" s="61"/>
    </row>
    <row r="10" spans="1:11">
      <c r="A10" s="4"/>
      <c r="B10" s="5" t="s">
        <v>81</v>
      </c>
      <c r="C10" s="5" t="s">
        <v>82</v>
      </c>
      <c r="D10" s="5" t="s">
        <v>83</v>
      </c>
      <c r="E10" s="5" t="s">
        <v>84</v>
      </c>
      <c r="F10" s="5" t="s">
        <v>85</v>
      </c>
      <c r="G10" s="5" t="s">
        <v>86</v>
      </c>
      <c r="H10" s="5" t="s">
        <v>87</v>
      </c>
      <c r="I10" s="5" t="s">
        <v>15</v>
      </c>
      <c r="J10" s="5"/>
    </row>
    <row r="11" spans="1:11">
      <c r="A11" s="5" t="s">
        <v>88</v>
      </c>
      <c r="B11" s="50"/>
      <c r="C11" s="50"/>
      <c r="D11" s="50"/>
      <c r="E11" s="50"/>
      <c r="F11" s="50"/>
      <c r="G11" s="50"/>
      <c r="H11" s="50"/>
      <c r="I11" s="4"/>
      <c r="J11" s="75" t="s">
        <v>150</v>
      </c>
      <c r="K11" s="640">
        <f>COUNTIF(B11:H11,"&lt;&gt;")</f>
        <v>0</v>
      </c>
    </row>
    <row r="12" spans="1:11">
      <c r="A12" s="5" t="s">
        <v>89</v>
      </c>
      <c r="B12" s="50"/>
      <c r="C12" s="50"/>
      <c r="D12" s="50"/>
      <c r="E12" s="50"/>
      <c r="F12" s="50"/>
      <c r="G12" s="50"/>
      <c r="H12" s="50"/>
      <c r="I12" s="4"/>
      <c r="J12" s="75" t="s">
        <v>150</v>
      </c>
    </row>
    <row r="13" spans="1:11">
      <c r="A13" s="5" t="s">
        <v>90</v>
      </c>
      <c r="B13" s="42">
        <f>MOD(B12-B11,1)</f>
        <v>0</v>
      </c>
      <c r="C13" s="42">
        <f t="shared" ref="C13:H13" si="0">MOD(C12-C11,1)</f>
        <v>0</v>
      </c>
      <c r="D13" s="42">
        <f t="shared" si="0"/>
        <v>0</v>
      </c>
      <c r="E13" s="42">
        <f t="shared" si="0"/>
        <v>0</v>
      </c>
      <c r="F13" s="42">
        <f t="shared" si="0"/>
        <v>0</v>
      </c>
      <c r="G13" s="42">
        <f t="shared" si="0"/>
        <v>0</v>
      </c>
      <c r="H13" s="42">
        <f t="shared" si="0"/>
        <v>0</v>
      </c>
      <c r="I13" s="43">
        <f>SUM(B13:H13)</f>
        <v>0</v>
      </c>
      <c r="J13" s="3" t="s">
        <v>113</v>
      </c>
    </row>
    <row r="14" spans="1:11">
      <c r="I14" s="44" t="e">
        <f>ROUND(I13/K11*$B$6*24/$B$5,2)*B7</f>
        <v>#DIV/0!</v>
      </c>
      <c r="J14" s="3" t="s">
        <v>114</v>
      </c>
    </row>
    <row r="16" spans="1:11">
      <c r="A16" s="572"/>
      <c r="B16" s="573"/>
      <c r="C16" s="573"/>
      <c r="D16" s="573"/>
      <c r="E16" s="573" t="s">
        <v>130</v>
      </c>
      <c r="F16" s="573"/>
      <c r="G16" s="573"/>
      <c r="H16" s="573"/>
      <c r="I16" s="573"/>
      <c r="J16" s="574"/>
    </row>
    <row r="18" spans="1:11">
      <c r="A18" s="63" t="s">
        <v>116</v>
      </c>
      <c r="B18" s="62">
        <v>1250</v>
      </c>
      <c r="D18" s="562" t="s">
        <v>134</v>
      </c>
      <c r="E18" s="562"/>
      <c r="F18" s="562"/>
      <c r="G18" s="562"/>
      <c r="H18" s="562"/>
      <c r="I18" s="562"/>
      <c r="J18" s="562"/>
    </row>
    <row r="19" spans="1:11">
      <c r="A19" s="63" t="s">
        <v>117</v>
      </c>
      <c r="B19" s="303"/>
      <c r="D19" s="563"/>
      <c r="E19" s="564"/>
      <c r="F19" s="564"/>
      <c r="G19" s="564"/>
      <c r="H19" s="564"/>
      <c r="I19" s="564"/>
      <c r="J19" s="565"/>
    </row>
    <row r="20" spans="1:11" ht="31.5">
      <c r="A20" s="27" t="s">
        <v>137</v>
      </c>
      <c r="B20" s="303"/>
      <c r="D20" s="566"/>
      <c r="E20" s="567"/>
      <c r="F20" s="567"/>
      <c r="G20" s="567"/>
      <c r="H20" s="567"/>
      <c r="I20" s="567"/>
      <c r="J20" s="568"/>
    </row>
    <row r="21" spans="1:11" ht="53.1" customHeight="1">
      <c r="A21" s="27" t="s">
        <v>138</v>
      </c>
      <c r="B21" s="28" t="e">
        <f>"1:"&amp;Klienten/'3b. Vorhalt NachtWach'!B20</f>
        <v>#DIV/0!</v>
      </c>
      <c r="C21" s="82" t="s">
        <v>30</v>
      </c>
      <c r="D21" s="569"/>
      <c r="E21" s="570"/>
      <c r="F21" s="570"/>
      <c r="G21" s="570"/>
      <c r="H21" s="570"/>
      <c r="I21" s="570"/>
      <c r="J21" s="571"/>
    </row>
    <row r="23" spans="1:11">
      <c r="A23" s="4"/>
      <c r="B23" s="5" t="s">
        <v>81</v>
      </c>
      <c r="C23" s="5" t="s">
        <v>82</v>
      </c>
      <c r="D23" s="5" t="s">
        <v>83</v>
      </c>
      <c r="E23" s="5" t="s">
        <v>84</v>
      </c>
      <c r="F23" s="5" t="s">
        <v>85</v>
      </c>
      <c r="G23" s="5" t="s">
        <v>86</v>
      </c>
      <c r="H23" s="5" t="s">
        <v>87</v>
      </c>
      <c r="I23" s="5" t="s">
        <v>15</v>
      </c>
      <c r="J23" s="5"/>
    </row>
    <row r="24" spans="1:11">
      <c r="A24" s="5" t="s">
        <v>88</v>
      </c>
      <c r="B24" s="302"/>
      <c r="C24" s="302"/>
      <c r="D24" s="302"/>
      <c r="E24" s="302"/>
      <c r="F24" s="302"/>
      <c r="G24" s="302"/>
      <c r="H24" s="302"/>
      <c r="I24" s="4"/>
      <c r="J24" s="75" t="s">
        <v>150</v>
      </c>
      <c r="K24" s="640">
        <f>COUNTIF(B24:H24,"&lt;&gt;")</f>
        <v>0</v>
      </c>
    </row>
    <row r="25" spans="1:11">
      <c r="A25" s="5" t="s">
        <v>89</v>
      </c>
      <c r="B25" s="302"/>
      <c r="C25" s="302"/>
      <c r="D25" s="302"/>
      <c r="E25" s="302"/>
      <c r="F25" s="302"/>
      <c r="G25" s="302"/>
      <c r="H25" s="302"/>
      <c r="I25" s="4"/>
      <c r="J25" s="75" t="s">
        <v>150</v>
      </c>
    </row>
    <row r="26" spans="1:11">
      <c r="A26" s="5" t="s">
        <v>90</v>
      </c>
      <c r="B26" s="42">
        <f t="shared" ref="B26:H26" si="1">MOD(B25-B24,1)</f>
        <v>0</v>
      </c>
      <c r="C26" s="42">
        <f t="shared" si="1"/>
        <v>0</v>
      </c>
      <c r="D26" s="42">
        <f t="shared" si="1"/>
        <v>0</v>
      </c>
      <c r="E26" s="42">
        <f t="shared" si="1"/>
        <v>0</v>
      </c>
      <c r="F26" s="42">
        <f t="shared" si="1"/>
        <v>0</v>
      </c>
      <c r="G26" s="42">
        <f t="shared" si="1"/>
        <v>0</v>
      </c>
      <c r="H26" s="42">
        <f t="shared" si="1"/>
        <v>0</v>
      </c>
      <c r="I26" s="43">
        <f>SUM(B26:H26)</f>
        <v>0</v>
      </c>
      <c r="J26" s="3" t="s">
        <v>113</v>
      </c>
    </row>
    <row r="27" spans="1:11">
      <c r="I27" s="44">
        <f>IFERROR(ROUND(I26/K24*$B$6*24/$B$5,2)*B20,0)</f>
        <v>0</v>
      </c>
      <c r="J27" s="3" t="s">
        <v>114</v>
      </c>
    </row>
    <row r="30" spans="1:11">
      <c r="A30" s="572"/>
      <c r="B30" s="573"/>
      <c r="C30" s="573"/>
      <c r="D30" s="573"/>
      <c r="E30" s="573" t="s">
        <v>15</v>
      </c>
      <c r="F30" s="573"/>
      <c r="G30" s="573"/>
      <c r="H30" s="573"/>
      <c r="I30" s="573"/>
      <c r="J30" s="574"/>
    </row>
    <row r="32" spans="1:11">
      <c r="I32" s="44" t="e">
        <f>I14+I27</f>
        <v>#DIV/0!</v>
      </c>
      <c r="J32" s="3" t="s">
        <v>15</v>
      </c>
    </row>
  </sheetData>
  <conditionalFormatting sqref="B8">
    <cfRule type="expression" dxfId="17" priority="5">
      <formula>ISERROR(B8)</formula>
    </cfRule>
  </conditionalFormatting>
  <conditionalFormatting sqref="B21">
    <cfRule type="expression" dxfId="16" priority="4">
      <formula>ISERROR(B21)</formula>
    </cfRule>
  </conditionalFormatting>
  <conditionalFormatting sqref="I14">
    <cfRule type="expression" dxfId="15" priority="3">
      <formula>ISERROR(I14)</formula>
    </cfRule>
  </conditionalFormatting>
  <conditionalFormatting sqref="I27">
    <cfRule type="expression" dxfId="14" priority="2">
      <formula>ISERROR(I27)</formula>
    </cfRule>
  </conditionalFormatting>
  <conditionalFormatting sqref="I32">
    <cfRule type="expression" dxfId="13" priority="1">
      <formula>ISERROR(I32)</formula>
    </cfRule>
  </conditionalFormatting>
  <pageMargins left="0.7" right="0.7" top="0.78740157499999996" bottom="0.78740157499999996"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pageSetUpPr fitToPage="1"/>
  </sheetPr>
  <dimension ref="A1:K34"/>
  <sheetViews>
    <sheetView topLeftCell="A2" zoomScale="120" zoomScaleNormal="120" workbookViewId="0">
      <selection activeCell="K26" activeCellId="1" sqref="K12 K26"/>
    </sheetView>
  </sheetViews>
  <sheetFormatPr baseColWidth="10" defaultRowHeight="15.75"/>
  <cols>
    <col min="1" max="1" width="15.5" customWidth="1"/>
    <col min="2" max="5" width="7.875" customWidth="1"/>
    <col min="6" max="6" width="7.5" customWidth="1"/>
    <col min="7" max="8" width="7.875" customWidth="1"/>
    <col min="9" max="9" width="10.5" customWidth="1"/>
    <col min="10" max="10" width="15.5" bestFit="1" customWidth="1"/>
    <col min="11" max="11" width="3.625" style="1" customWidth="1"/>
  </cols>
  <sheetData>
    <row r="1" spans="1:11" ht="23.25">
      <c r="A1" s="575"/>
      <c r="B1" s="576"/>
      <c r="C1" s="576"/>
      <c r="D1" s="576"/>
      <c r="E1" s="576" t="s">
        <v>131</v>
      </c>
      <c r="F1" s="576"/>
      <c r="G1" s="576"/>
      <c r="H1" s="576"/>
      <c r="I1" s="576"/>
      <c r="J1" s="577"/>
    </row>
    <row r="3" spans="1:11">
      <c r="A3" s="572"/>
      <c r="B3" s="573"/>
      <c r="C3" s="573"/>
      <c r="D3" s="573"/>
      <c r="E3" s="573"/>
      <c r="F3" s="573" t="s">
        <v>129</v>
      </c>
      <c r="G3" s="573"/>
      <c r="H3" s="573"/>
      <c r="I3" s="573"/>
      <c r="J3" s="574"/>
    </row>
    <row r="5" spans="1:11">
      <c r="A5" s="5" t="s">
        <v>116</v>
      </c>
      <c r="B5" s="62">
        <v>1250</v>
      </c>
      <c r="D5" s="562" t="s">
        <v>134</v>
      </c>
      <c r="E5" s="562"/>
      <c r="F5" s="562"/>
      <c r="G5" s="562"/>
      <c r="H5" s="562"/>
      <c r="I5" s="562"/>
      <c r="J5" s="562"/>
    </row>
    <row r="6" spans="1:11">
      <c r="A6" s="5" t="s">
        <v>117</v>
      </c>
      <c r="B6" s="303"/>
      <c r="D6" s="563"/>
      <c r="E6" s="564"/>
      <c r="F6" s="564"/>
      <c r="G6" s="564"/>
      <c r="H6" s="564"/>
      <c r="I6" s="564"/>
      <c r="J6" s="565"/>
    </row>
    <row r="7" spans="1:11">
      <c r="A7" s="5" t="s">
        <v>128</v>
      </c>
      <c r="B7" s="303"/>
      <c r="D7" s="566"/>
      <c r="E7" s="567"/>
      <c r="F7" s="567"/>
      <c r="G7" s="567"/>
      <c r="H7" s="567"/>
      <c r="I7" s="567"/>
      <c r="J7" s="568"/>
    </row>
    <row r="8" spans="1:11" ht="47.25">
      <c r="A8" s="13" t="s">
        <v>138</v>
      </c>
      <c r="B8" s="28" t="e">
        <f>"1:"&amp;Klienten/'3c. Vorhalt NachtBereit'!B7</f>
        <v>#DIV/0!</v>
      </c>
      <c r="C8" s="90" t="s">
        <v>30</v>
      </c>
      <c r="D8" s="566"/>
      <c r="E8" s="567"/>
      <c r="F8" s="567"/>
      <c r="G8" s="567"/>
      <c r="H8" s="567"/>
      <c r="I8" s="567"/>
      <c r="J8" s="568"/>
    </row>
    <row r="9" spans="1:11" ht="48" customHeight="1">
      <c r="A9" s="13" t="s">
        <v>136</v>
      </c>
      <c r="B9" s="88">
        <v>0.5</v>
      </c>
      <c r="C9" s="89" t="s">
        <v>162</v>
      </c>
      <c r="D9" s="569"/>
      <c r="E9" s="570"/>
      <c r="F9" s="570"/>
      <c r="G9" s="570"/>
      <c r="H9" s="570"/>
      <c r="I9" s="570"/>
      <c r="J9" s="571"/>
    </row>
    <row r="10" spans="1:11">
      <c r="B10" s="61"/>
      <c r="C10" s="61"/>
    </row>
    <row r="11" spans="1:11">
      <c r="A11" s="4"/>
      <c r="B11" s="5" t="s">
        <v>81</v>
      </c>
      <c r="C11" s="5" t="s">
        <v>82</v>
      </c>
      <c r="D11" s="5" t="s">
        <v>83</v>
      </c>
      <c r="E11" s="5" t="s">
        <v>84</v>
      </c>
      <c r="F11" s="5" t="s">
        <v>85</v>
      </c>
      <c r="G11" s="5" t="s">
        <v>86</v>
      </c>
      <c r="H11" s="5" t="s">
        <v>87</v>
      </c>
      <c r="I11" s="5" t="s">
        <v>15</v>
      </c>
      <c r="J11" s="5"/>
    </row>
    <row r="12" spans="1:11">
      <c r="A12" s="5" t="s">
        <v>88</v>
      </c>
      <c r="B12" s="302"/>
      <c r="C12" s="302"/>
      <c r="D12" s="302"/>
      <c r="E12" s="302"/>
      <c r="F12" s="302"/>
      <c r="G12" s="302"/>
      <c r="H12" s="302"/>
      <c r="I12" s="4"/>
      <c r="J12" s="75" t="s">
        <v>150</v>
      </c>
      <c r="K12" s="641">
        <f>COUNTIF(B12:H12,"&lt;&gt;")</f>
        <v>0</v>
      </c>
    </row>
    <row r="13" spans="1:11">
      <c r="A13" s="5" t="s">
        <v>89</v>
      </c>
      <c r="B13" s="302"/>
      <c r="C13" s="302"/>
      <c r="D13" s="302"/>
      <c r="E13" s="302"/>
      <c r="F13" s="302"/>
      <c r="G13" s="302"/>
      <c r="H13" s="302"/>
      <c r="I13" s="4"/>
      <c r="J13" s="75" t="s">
        <v>150</v>
      </c>
    </row>
    <row r="14" spans="1:11">
      <c r="A14" s="5" t="s">
        <v>90</v>
      </c>
      <c r="B14" s="42">
        <f>MOD(B13-B12,1)</f>
        <v>0</v>
      </c>
      <c r="C14" s="42">
        <f t="shared" ref="C14:H14" si="0">MOD(C13-C12,1)</f>
        <v>0</v>
      </c>
      <c r="D14" s="42">
        <f t="shared" si="0"/>
        <v>0</v>
      </c>
      <c r="E14" s="42">
        <f t="shared" si="0"/>
        <v>0</v>
      </c>
      <c r="F14" s="42">
        <f t="shared" si="0"/>
        <v>0</v>
      </c>
      <c r="G14" s="42">
        <f t="shared" si="0"/>
        <v>0</v>
      </c>
      <c r="H14" s="42">
        <f t="shared" si="0"/>
        <v>0</v>
      </c>
      <c r="I14" s="43">
        <f>SUM(B14:H14)</f>
        <v>0</v>
      </c>
      <c r="J14" s="3" t="s">
        <v>113</v>
      </c>
    </row>
    <row r="15" spans="1:11">
      <c r="I15" s="44" t="e">
        <f>ROUND(I14/K12*Tage_pa*24/B5,2)*B7*B9</f>
        <v>#DIV/0!</v>
      </c>
      <c r="J15" s="3" t="s">
        <v>114</v>
      </c>
    </row>
    <row r="17" spans="1:11">
      <c r="A17" s="572"/>
      <c r="B17" s="573"/>
      <c r="C17" s="573"/>
      <c r="D17" s="573"/>
      <c r="E17" s="573"/>
      <c r="F17" s="573" t="s">
        <v>130</v>
      </c>
      <c r="G17" s="573"/>
      <c r="H17" s="573"/>
      <c r="I17" s="573"/>
      <c r="J17" s="574"/>
    </row>
    <row r="19" spans="1:11">
      <c r="A19" s="5" t="s">
        <v>116</v>
      </c>
      <c r="B19" s="49">
        <v>1250</v>
      </c>
      <c r="D19" s="562" t="s">
        <v>134</v>
      </c>
      <c r="E19" s="562"/>
      <c r="F19" s="562"/>
      <c r="G19" s="562"/>
      <c r="H19" s="562"/>
      <c r="I19" s="562"/>
      <c r="J19" s="562"/>
    </row>
    <row r="20" spans="1:11">
      <c r="A20" s="5" t="s">
        <v>117</v>
      </c>
      <c r="B20" s="301"/>
      <c r="D20" s="563"/>
      <c r="E20" s="564"/>
      <c r="F20" s="564"/>
      <c r="G20" s="564"/>
      <c r="H20" s="564"/>
      <c r="I20" s="564"/>
      <c r="J20" s="565"/>
    </row>
    <row r="21" spans="1:11">
      <c r="A21" s="5" t="s">
        <v>128</v>
      </c>
      <c r="B21" s="301"/>
      <c r="D21" s="566"/>
      <c r="E21" s="567"/>
      <c r="F21" s="567"/>
      <c r="G21" s="567"/>
      <c r="H21" s="567"/>
      <c r="I21" s="567"/>
      <c r="J21" s="568"/>
    </row>
    <row r="22" spans="1:11" ht="47.25">
      <c r="A22" s="13" t="s">
        <v>138</v>
      </c>
      <c r="B22" s="28" t="e">
        <f>"1:"&amp;Klienten/'3c. Vorhalt NachtBereit'!B21</f>
        <v>#DIV/0!</v>
      </c>
      <c r="C22" s="90" t="s">
        <v>30</v>
      </c>
      <c r="D22" s="566"/>
      <c r="E22" s="567"/>
      <c r="F22" s="567"/>
      <c r="G22" s="567"/>
      <c r="H22" s="567"/>
      <c r="I22" s="567"/>
      <c r="J22" s="568"/>
    </row>
    <row r="23" spans="1:11" ht="48.95" customHeight="1">
      <c r="A23" s="13" t="s">
        <v>136</v>
      </c>
      <c r="B23" s="88">
        <v>0.5</v>
      </c>
      <c r="C23" s="89" t="s">
        <v>162</v>
      </c>
      <c r="D23" s="569"/>
      <c r="E23" s="570"/>
      <c r="F23" s="570"/>
      <c r="G23" s="570"/>
      <c r="H23" s="570"/>
      <c r="I23" s="570"/>
      <c r="J23" s="571"/>
    </row>
    <row r="25" spans="1:11">
      <c r="A25" s="4"/>
      <c r="B25" s="5" t="s">
        <v>81</v>
      </c>
      <c r="C25" s="5" t="s">
        <v>82</v>
      </c>
      <c r="D25" s="5" t="s">
        <v>83</v>
      </c>
      <c r="E25" s="5" t="s">
        <v>84</v>
      </c>
      <c r="F25" s="5" t="s">
        <v>85</v>
      </c>
      <c r="G25" s="5" t="s">
        <v>86</v>
      </c>
      <c r="H25" s="5" t="s">
        <v>87</v>
      </c>
      <c r="I25" s="5" t="s">
        <v>15</v>
      </c>
      <c r="J25" s="5"/>
    </row>
    <row r="26" spans="1:11">
      <c r="A26" s="5" t="s">
        <v>88</v>
      </c>
      <c r="B26" s="302"/>
      <c r="C26" s="302"/>
      <c r="D26" s="302"/>
      <c r="E26" s="302"/>
      <c r="F26" s="302"/>
      <c r="G26" s="302"/>
      <c r="H26" s="302"/>
      <c r="I26" s="4"/>
      <c r="J26" s="75" t="s">
        <v>150</v>
      </c>
      <c r="K26" s="641">
        <f>COUNTIF(B26:H26,"&lt;&gt;")</f>
        <v>0</v>
      </c>
    </row>
    <row r="27" spans="1:11">
      <c r="A27" s="5" t="s">
        <v>89</v>
      </c>
      <c r="B27" s="302"/>
      <c r="C27" s="302"/>
      <c r="D27" s="302"/>
      <c r="E27" s="302"/>
      <c r="F27" s="302"/>
      <c r="G27" s="302"/>
      <c r="H27" s="302"/>
      <c r="I27" s="4"/>
      <c r="J27" s="75" t="s">
        <v>150</v>
      </c>
    </row>
    <row r="28" spans="1:11">
      <c r="A28" s="5" t="s">
        <v>90</v>
      </c>
      <c r="B28" s="42">
        <f>MOD(B27-B26,1)</f>
        <v>0</v>
      </c>
      <c r="C28" s="42">
        <f t="shared" ref="C28:H28" si="1">MOD(C27-C26,1)</f>
        <v>0</v>
      </c>
      <c r="D28" s="42">
        <f t="shared" si="1"/>
        <v>0</v>
      </c>
      <c r="E28" s="42">
        <f t="shared" si="1"/>
        <v>0</v>
      </c>
      <c r="F28" s="42">
        <f t="shared" si="1"/>
        <v>0</v>
      </c>
      <c r="G28" s="42">
        <f t="shared" si="1"/>
        <v>0</v>
      </c>
      <c r="H28" s="42">
        <f t="shared" si="1"/>
        <v>0</v>
      </c>
      <c r="I28" s="43">
        <f>SUM(B28:H28)</f>
        <v>0</v>
      </c>
      <c r="J28" s="3" t="s">
        <v>113</v>
      </c>
    </row>
    <row r="29" spans="1:11">
      <c r="I29" s="44">
        <f>IFERROR(ROUND(I28/K26*B20*24/B19,2)*B21*B23,0)</f>
        <v>0</v>
      </c>
      <c r="J29" s="3" t="s">
        <v>114</v>
      </c>
    </row>
    <row r="32" spans="1:11">
      <c r="A32" s="572"/>
      <c r="B32" s="573"/>
      <c r="C32" s="573"/>
      <c r="D32" s="573"/>
      <c r="E32" s="573"/>
      <c r="F32" s="573" t="s">
        <v>15</v>
      </c>
      <c r="G32" s="573"/>
      <c r="H32" s="573"/>
      <c r="I32" s="573"/>
      <c r="J32" s="574"/>
    </row>
    <row r="34" spans="9:10">
      <c r="I34" s="44" t="e">
        <f>I15+I29</f>
        <v>#DIV/0!</v>
      </c>
      <c r="J34" s="3" t="s">
        <v>15</v>
      </c>
    </row>
  </sheetData>
  <conditionalFormatting sqref="B8">
    <cfRule type="expression" dxfId="12" priority="5">
      <formula>ISERROR(B8)</formula>
    </cfRule>
  </conditionalFormatting>
  <conditionalFormatting sqref="B22">
    <cfRule type="expression" dxfId="11" priority="4">
      <formula>ISERROR(B22)</formula>
    </cfRule>
  </conditionalFormatting>
  <conditionalFormatting sqref="I15">
    <cfRule type="expression" dxfId="10" priority="1">
      <formula>ISERROR(I15)</formula>
    </cfRule>
  </conditionalFormatting>
  <conditionalFormatting sqref="I29">
    <cfRule type="expression" dxfId="9" priority="3">
      <formula>ISERROR(I29)</formula>
    </cfRule>
  </conditionalFormatting>
  <conditionalFormatting sqref="I34">
    <cfRule type="expression" dxfId="8" priority="2">
      <formula>ISERROR(I34)</formula>
    </cfRule>
  </conditionalFormatting>
  <pageMargins left="0.7" right="0.7" top="0.78740157499999996" bottom="0.78740157499999996" header="0.3" footer="0.3"/>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K34"/>
  <sheetViews>
    <sheetView zoomScale="120" zoomScaleNormal="120" workbookViewId="0">
      <selection activeCell="L23" sqref="L23"/>
    </sheetView>
  </sheetViews>
  <sheetFormatPr baseColWidth="10" defaultRowHeight="15.75"/>
  <cols>
    <col min="1" max="1" width="15.5" customWidth="1"/>
    <col min="2" max="5" width="7.875" customWidth="1"/>
    <col min="6" max="6" width="7.5" customWidth="1"/>
    <col min="7" max="8" width="7.875" customWidth="1"/>
    <col min="9" max="9" width="10.5" customWidth="1"/>
    <col min="10" max="10" width="15.5" bestFit="1" customWidth="1"/>
    <col min="11" max="11" width="5" style="464" customWidth="1"/>
  </cols>
  <sheetData>
    <row r="1" spans="1:11" ht="23.25">
      <c r="A1" s="575"/>
      <c r="B1" s="576"/>
      <c r="C1" s="576"/>
      <c r="D1" s="576" t="s">
        <v>163</v>
      </c>
      <c r="E1" s="576"/>
      <c r="F1" s="576"/>
      <c r="G1" s="576"/>
      <c r="H1" s="576"/>
      <c r="I1" s="576"/>
      <c r="J1" s="577"/>
    </row>
    <row r="3" spans="1:11">
      <c r="A3" s="572"/>
      <c r="B3" s="573"/>
      <c r="C3" s="573"/>
      <c r="D3" s="573"/>
      <c r="E3" s="573"/>
      <c r="F3" s="573" t="s">
        <v>129</v>
      </c>
      <c r="G3" s="573"/>
      <c r="H3" s="573"/>
      <c r="I3" s="573"/>
      <c r="J3" s="574"/>
    </row>
    <row r="5" spans="1:11">
      <c r="A5" s="5" t="s">
        <v>116</v>
      </c>
      <c r="B5" s="62">
        <v>1250</v>
      </c>
      <c r="D5" s="562" t="s">
        <v>164</v>
      </c>
      <c r="E5" s="562"/>
      <c r="F5" s="562"/>
      <c r="G5" s="562"/>
      <c r="H5" s="562"/>
      <c r="I5" s="562"/>
      <c r="J5" s="562"/>
    </row>
    <row r="6" spans="1:11">
      <c r="A6" s="5" t="s">
        <v>117</v>
      </c>
      <c r="B6" s="303"/>
      <c r="D6" s="563"/>
      <c r="E6" s="564"/>
      <c r="F6" s="564"/>
      <c r="G6" s="564"/>
      <c r="H6" s="564"/>
      <c r="I6" s="564"/>
      <c r="J6" s="565"/>
    </row>
    <row r="7" spans="1:11">
      <c r="A7" s="5" t="s">
        <v>128</v>
      </c>
      <c r="B7" s="303"/>
      <c r="D7" s="566"/>
      <c r="E7" s="567"/>
      <c r="F7" s="567"/>
      <c r="G7" s="567"/>
      <c r="H7" s="567"/>
      <c r="I7" s="567"/>
      <c r="J7" s="568"/>
    </row>
    <row r="8" spans="1:11" ht="47.25">
      <c r="A8" s="13" t="s">
        <v>138</v>
      </c>
      <c r="B8" s="462" t="e">
        <f>"1:"&amp;Klienten/'3d. Vorhalt Sonder Ruf-Bereit'!B7</f>
        <v>#DIV/0!</v>
      </c>
      <c r="C8" s="82" t="s">
        <v>30</v>
      </c>
      <c r="D8" s="566"/>
      <c r="E8" s="567"/>
      <c r="F8" s="567"/>
      <c r="G8" s="567"/>
      <c r="H8" s="567"/>
      <c r="I8" s="567"/>
      <c r="J8" s="568"/>
    </row>
    <row r="9" spans="1:11" ht="31.5">
      <c r="A9" s="13" t="s">
        <v>136</v>
      </c>
      <c r="B9" s="304"/>
      <c r="D9" s="569"/>
      <c r="E9" s="570"/>
      <c r="F9" s="570"/>
      <c r="G9" s="570"/>
      <c r="H9" s="570"/>
      <c r="I9" s="570"/>
      <c r="J9" s="571"/>
    </row>
    <row r="10" spans="1:11">
      <c r="B10" s="61"/>
      <c r="C10" s="61"/>
    </row>
    <row r="11" spans="1:11">
      <c r="A11" s="4"/>
      <c r="B11" s="5" t="s">
        <v>81</v>
      </c>
      <c r="C11" s="5" t="s">
        <v>82</v>
      </c>
      <c r="D11" s="5" t="s">
        <v>83</v>
      </c>
      <c r="E11" s="5" t="s">
        <v>84</v>
      </c>
      <c r="F11" s="5" t="s">
        <v>85</v>
      </c>
      <c r="G11" s="5" t="s">
        <v>86</v>
      </c>
      <c r="H11" s="5" t="s">
        <v>87</v>
      </c>
      <c r="I11" s="5" t="s">
        <v>15</v>
      </c>
      <c r="J11" s="5"/>
    </row>
    <row r="12" spans="1:11">
      <c r="A12" s="5" t="s">
        <v>88</v>
      </c>
      <c r="B12" s="50"/>
      <c r="C12" s="50"/>
      <c r="D12" s="50"/>
      <c r="E12" s="50"/>
      <c r="F12" s="50"/>
      <c r="G12" s="50"/>
      <c r="H12" s="50"/>
      <c r="I12" s="4"/>
      <c r="J12" s="75" t="s">
        <v>150</v>
      </c>
      <c r="K12" s="641">
        <f>COUNTIF(B12:H12,"&lt;&gt;")</f>
        <v>0</v>
      </c>
    </row>
    <row r="13" spans="1:11">
      <c r="A13" s="5" t="s">
        <v>89</v>
      </c>
      <c r="B13" s="50"/>
      <c r="C13" s="50"/>
      <c r="D13" s="50"/>
      <c r="E13" s="50"/>
      <c r="F13" s="50"/>
      <c r="G13" s="50"/>
      <c r="H13" s="50"/>
      <c r="I13" s="4"/>
      <c r="J13" s="75" t="s">
        <v>150</v>
      </c>
    </row>
    <row r="14" spans="1:11">
      <c r="A14" s="5" t="s">
        <v>90</v>
      </c>
      <c r="B14" s="42">
        <f>MOD(B13-B12,1)</f>
        <v>0</v>
      </c>
      <c r="C14" s="42">
        <f t="shared" ref="C14:H14" si="0">MOD(C13-C12,1)</f>
        <v>0</v>
      </c>
      <c r="D14" s="42">
        <f t="shared" si="0"/>
        <v>0</v>
      </c>
      <c r="E14" s="42">
        <f t="shared" si="0"/>
        <v>0</v>
      </c>
      <c r="F14" s="42">
        <f t="shared" si="0"/>
        <v>0</v>
      </c>
      <c r="G14" s="42">
        <f t="shared" si="0"/>
        <v>0</v>
      </c>
      <c r="H14" s="42">
        <f t="shared" si="0"/>
        <v>0</v>
      </c>
      <c r="I14" s="43">
        <f>SUM(B14:H14)</f>
        <v>0</v>
      </c>
      <c r="J14" s="463" t="s">
        <v>113</v>
      </c>
    </row>
    <row r="15" spans="1:11">
      <c r="I15" s="44" t="e">
        <f>ROUND(I14/K12*Tage_pa*24/B5,2)*B7*B9</f>
        <v>#DIV/0!</v>
      </c>
      <c r="J15" s="463" t="s">
        <v>114</v>
      </c>
    </row>
    <row r="17" spans="1:11">
      <c r="A17" s="572"/>
      <c r="B17" s="573"/>
      <c r="C17" s="573"/>
      <c r="D17" s="573"/>
      <c r="E17" s="573"/>
      <c r="F17" s="573" t="s">
        <v>130</v>
      </c>
      <c r="G17" s="573"/>
      <c r="H17" s="573"/>
      <c r="I17" s="573"/>
      <c r="J17" s="574"/>
    </row>
    <row r="19" spans="1:11">
      <c r="A19" s="5" t="s">
        <v>116</v>
      </c>
      <c r="B19" s="49">
        <v>1250</v>
      </c>
      <c r="D19" s="562" t="s">
        <v>164</v>
      </c>
      <c r="E19" s="562"/>
      <c r="F19" s="562"/>
      <c r="G19" s="562"/>
      <c r="H19" s="562"/>
      <c r="I19" s="562"/>
      <c r="J19" s="562"/>
    </row>
    <row r="20" spans="1:11">
      <c r="A20" s="5" t="s">
        <v>117</v>
      </c>
      <c r="B20" s="301"/>
      <c r="D20" s="563"/>
      <c r="E20" s="564"/>
      <c r="F20" s="564"/>
      <c r="G20" s="564"/>
      <c r="H20" s="564"/>
      <c r="I20" s="564"/>
      <c r="J20" s="565"/>
    </row>
    <row r="21" spans="1:11">
      <c r="A21" s="5" t="s">
        <v>128</v>
      </c>
      <c r="B21" s="301"/>
      <c r="D21" s="566"/>
      <c r="E21" s="567"/>
      <c r="F21" s="567"/>
      <c r="G21" s="567"/>
      <c r="H21" s="567"/>
      <c r="I21" s="567"/>
      <c r="J21" s="568"/>
    </row>
    <row r="22" spans="1:11" ht="47.25">
      <c r="A22" s="13" t="s">
        <v>138</v>
      </c>
      <c r="B22" s="462" t="e">
        <f>"1:"&amp;Klienten/'3d. Vorhalt Sonder Ruf-Bereit'!B21</f>
        <v>#DIV/0!</v>
      </c>
      <c r="C22" s="82" t="s">
        <v>30</v>
      </c>
      <c r="D22" s="566"/>
      <c r="E22" s="567"/>
      <c r="F22" s="567"/>
      <c r="G22" s="567"/>
      <c r="H22" s="567"/>
      <c r="I22" s="567"/>
      <c r="J22" s="568"/>
    </row>
    <row r="23" spans="1:11" ht="48.95" customHeight="1">
      <c r="A23" s="13" t="s">
        <v>136</v>
      </c>
      <c r="B23" s="304"/>
      <c r="D23" s="569"/>
      <c r="E23" s="570"/>
      <c r="F23" s="570"/>
      <c r="G23" s="570"/>
      <c r="H23" s="570"/>
      <c r="I23" s="570"/>
      <c r="J23" s="571"/>
    </row>
    <row r="25" spans="1:11">
      <c r="A25" s="4"/>
      <c r="B25" s="5" t="s">
        <v>81</v>
      </c>
      <c r="C25" s="5" t="s">
        <v>82</v>
      </c>
      <c r="D25" s="5" t="s">
        <v>83</v>
      </c>
      <c r="E25" s="5" t="s">
        <v>84</v>
      </c>
      <c r="F25" s="5" t="s">
        <v>85</v>
      </c>
      <c r="G25" s="5" t="s">
        <v>86</v>
      </c>
      <c r="H25" s="5" t="s">
        <v>87</v>
      </c>
      <c r="I25" s="5" t="s">
        <v>15</v>
      </c>
      <c r="J25" s="5"/>
    </row>
    <row r="26" spans="1:11">
      <c r="A26" s="5" t="s">
        <v>88</v>
      </c>
      <c r="B26" s="302"/>
      <c r="C26" s="302"/>
      <c r="D26" s="302"/>
      <c r="E26" s="302"/>
      <c r="F26" s="302"/>
      <c r="G26" s="302"/>
      <c r="H26" s="302"/>
      <c r="I26" s="4"/>
      <c r="J26" s="75" t="s">
        <v>150</v>
      </c>
      <c r="K26" s="641">
        <f>COUNTIF(B26:H26,"&lt;&gt;")</f>
        <v>0</v>
      </c>
    </row>
    <row r="27" spans="1:11">
      <c r="A27" s="5" t="s">
        <v>89</v>
      </c>
      <c r="B27" s="302"/>
      <c r="C27" s="302"/>
      <c r="D27" s="302"/>
      <c r="E27" s="302"/>
      <c r="F27" s="302"/>
      <c r="G27" s="302"/>
      <c r="H27" s="302"/>
      <c r="I27" s="4"/>
      <c r="J27" s="75" t="s">
        <v>150</v>
      </c>
    </row>
    <row r="28" spans="1:11">
      <c r="A28" s="5" t="s">
        <v>90</v>
      </c>
      <c r="B28" s="42">
        <f>MOD(B27-B26,1)</f>
        <v>0</v>
      </c>
      <c r="C28" s="42">
        <f t="shared" ref="C28:H28" si="1">MOD(C27-C26,1)</f>
        <v>0</v>
      </c>
      <c r="D28" s="42">
        <f t="shared" si="1"/>
        <v>0</v>
      </c>
      <c r="E28" s="42">
        <f t="shared" si="1"/>
        <v>0</v>
      </c>
      <c r="F28" s="42">
        <f t="shared" si="1"/>
        <v>0</v>
      </c>
      <c r="G28" s="42">
        <f t="shared" si="1"/>
        <v>0</v>
      </c>
      <c r="H28" s="42">
        <f t="shared" si="1"/>
        <v>0</v>
      </c>
      <c r="I28" s="43">
        <f>SUM(B28:H28)</f>
        <v>0</v>
      </c>
      <c r="J28" s="463" t="s">
        <v>113</v>
      </c>
    </row>
    <row r="29" spans="1:11">
      <c r="I29" s="44">
        <f>IFERROR(ROUND(I28/K26*B20*24/B19,2)*B21*B23,0)</f>
        <v>0</v>
      </c>
      <c r="J29" s="463" t="s">
        <v>114</v>
      </c>
    </row>
    <row r="32" spans="1:11">
      <c r="A32" s="572"/>
      <c r="B32" s="573"/>
      <c r="C32" s="573"/>
      <c r="D32" s="573"/>
      <c r="E32" s="573"/>
      <c r="F32" s="573" t="s">
        <v>15</v>
      </c>
      <c r="G32" s="573"/>
      <c r="H32" s="573"/>
      <c r="I32" s="573"/>
      <c r="J32" s="574"/>
    </row>
    <row r="34" spans="9:10">
      <c r="I34" s="44" t="e">
        <f>I15+I29</f>
        <v>#DIV/0!</v>
      </c>
      <c r="J34" s="463" t="s">
        <v>15</v>
      </c>
    </row>
  </sheetData>
  <conditionalFormatting sqref="B8">
    <cfRule type="expression" dxfId="7" priority="5">
      <formula>ISERROR(B8)</formula>
    </cfRule>
  </conditionalFormatting>
  <conditionalFormatting sqref="B22">
    <cfRule type="expression" dxfId="6" priority="4">
      <formula>ISERROR(B22)</formula>
    </cfRule>
  </conditionalFormatting>
  <conditionalFormatting sqref="I15">
    <cfRule type="expression" dxfId="5" priority="3">
      <formula>ISERROR(I15)</formula>
    </cfRule>
  </conditionalFormatting>
  <conditionalFormatting sqref="I29">
    <cfRule type="expression" dxfId="4" priority="2">
      <formula>ISERROR(I29)</formula>
    </cfRule>
  </conditionalFormatting>
  <conditionalFormatting sqref="I34">
    <cfRule type="expression" dxfId="3" priority="1">
      <formula>ISERROR(I34)</formula>
    </cfRule>
  </conditionalFormatting>
  <pageMargins left="0.7" right="0.7" top="0.78740157499999996" bottom="0.78740157499999996" header="0.3" footer="0.3"/>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pageSetUpPr fitToPage="1"/>
  </sheetPr>
  <dimension ref="A1:K14"/>
  <sheetViews>
    <sheetView zoomScale="130" zoomScaleNormal="130" workbookViewId="0">
      <selection activeCell="B12" sqref="B12"/>
    </sheetView>
  </sheetViews>
  <sheetFormatPr baseColWidth="10" defaultRowHeight="15.75"/>
  <cols>
    <col min="1" max="1" width="15.5" customWidth="1"/>
    <col min="2" max="2" width="7.875" customWidth="1"/>
    <col min="3" max="3" width="11.625" customWidth="1"/>
    <col min="4" max="5" width="11.875" customWidth="1"/>
    <col min="6" max="6" width="11.5" customWidth="1"/>
    <col min="7" max="7" width="17.25" customWidth="1"/>
    <col min="8" max="8" width="7.875" customWidth="1"/>
    <col min="9" max="9" width="10.5" customWidth="1"/>
    <col min="10" max="10" width="24.5" customWidth="1"/>
    <col min="11" max="11" width="4.375" customWidth="1"/>
  </cols>
  <sheetData>
    <row r="1" spans="1:11" ht="23.25">
      <c r="A1" s="575"/>
      <c r="B1" s="576"/>
      <c r="C1" s="576"/>
      <c r="D1" s="576"/>
      <c r="E1" s="576" t="s">
        <v>165</v>
      </c>
      <c r="F1" s="576"/>
      <c r="G1" s="576"/>
      <c r="H1" s="576"/>
      <c r="I1" s="576"/>
      <c r="J1" s="577"/>
    </row>
    <row r="3" spans="1:11">
      <c r="A3" s="2" t="s">
        <v>116</v>
      </c>
      <c r="B3" s="49">
        <v>1250</v>
      </c>
    </row>
    <row r="4" spans="1:11">
      <c r="A4" s="2" t="s">
        <v>117</v>
      </c>
      <c r="B4" s="301"/>
    </row>
    <row r="5" spans="1:11">
      <c r="A5" s="2" t="s">
        <v>115</v>
      </c>
      <c r="B5" s="301"/>
    </row>
    <row r="6" spans="1:11">
      <c r="A6" s="2" t="s">
        <v>127</v>
      </c>
      <c r="B6" s="301"/>
    </row>
    <row r="8" spans="1:11">
      <c r="A8" s="4"/>
      <c r="B8" s="5" t="s">
        <v>81</v>
      </c>
      <c r="C8" s="5" t="s">
        <v>82</v>
      </c>
      <c r="D8" s="5" t="s">
        <v>83</v>
      </c>
      <c r="E8" s="5" t="s">
        <v>84</v>
      </c>
      <c r="F8" s="5" t="s">
        <v>85</v>
      </c>
      <c r="G8" s="5" t="s">
        <v>86</v>
      </c>
      <c r="H8" s="5" t="s">
        <v>87</v>
      </c>
      <c r="I8" s="5" t="s">
        <v>15</v>
      </c>
      <c r="J8" s="463"/>
    </row>
    <row r="9" spans="1:11">
      <c r="A9" s="5" t="s">
        <v>88</v>
      </c>
      <c r="B9" s="302"/>
      <c r="C9" s="302"/>
      <c r="D9" s="302"/>
      <c r="E9" s="302"/>
      <c r="F9" s="302"/>
      <c r="G9" s="86"/>
      <c r="H9" s="86"/>
      <c r="I9" s="4"/>
      <c r="J9" s="463"/>
    </row>
    <row r="10" spans="1:11">
      <c r="A10" s="5" t="s">
        <v>89</v>
      </c>
      <c r="B10" s="302"/>
      <c r="C10" s="302"/>
      <c r="D10" s="302"/>
      <c r="E10" s="302"/>
      <c r="F10" s="302"/>
      <c r="G10" s="86"/>
      <c r="H10" s="86"/>
      <c r="I10" s="4"/>
      <c r="J10" s="463"/>
    </row>
    <row r="11" spans="1:11">
      <c r="A11" s="5" t="s">
        <v>90</v>
      </c>
      <c r="B11" s="42">
        <f t="shared" ref="B11:H11" si="0">B10-B9</f>
        <v>0</v>
      </c>
      <c r="C11" s="42">
        <f t="shared" si="0"/>
        <v>0</v>
      </c>
      <c r="D11" s="42">
        <f t="shared" si="0"/>
        <v>0</v>
      </c>
      <c r="E11" s="42">
        <f t="shared" si="0"/>
        <v>0</v>
      </c>
      <c r="F11" s="42">
        <f t="shared" si="0"/>
        <v>0</v>
      </c>
      <c r="G11" s="42">
        <f t="shared" si="0"/>
        <v>0</v>
      </c>
      <c r="H11" s="42">
        <f t="shared" si="0"/>
        <v>0</v>
      </c>
      <c r="I11" s="43">
        <f>SUM(B11:H11)</f>
        <v>0</v>
      </c>
      <c r="J11" s="463" t="s">
        <v>113</v>
      </c>
      <c r="K11" s="640">
        <f>COUNTIF(B11:F11,"&lt; 0,25")</f>
        <v>5</v>
      </c>
    </row>
    <row r="12" spans="1:11" ht="31.5" customHeight="1">
      <c r="B12" s="642" t="str">
        <f>IF(K11 &gt; 0,"Achtung!!! Die Öffnungszeit muss bei externer Tagestruktur an jedem Tag mindestens 6 h betragen!","")</f>
        <v>Achtung!!! Die Öffnungszeit muss bei externer Tagestruktur an jedem Tag mindestens 6 h betragen!</v>
      </c>
      <c r="C12" s="578"/>
      <c r="D12" s="578"/>
      <c r="E12" s="578"/>
      <c r="F12" s="578"/>
      <c r="H12" s="22" t="s">
        <v>30</v>
      </c>
      <c r="I12" s="80">
        <f>Wochenstunden/5*Tage_p.a.*24/B3</f>
        <v>0</v>
      </c>
      <c r="J12" s="24" t="s">
        <v>151</v>
      </c>
    </row>
    <row r="13" spans="1:11" ht="31.5">
      <c r="H13" s="22" t="s">
        <v>30</v>
      </c>
      <c r="I13" s="81">
        <f>ROUND(I12*B5,0)</f>
        <v>0</v>
      </c>
      <c r="J13" s="24" t="s">
        <v>152</v>
      </c>
    </row>
    <row r="14" spans="1:11" ht="33" customHeight="1">
      <c r="I14" s="76">
        <f>IFERROR(B6/B5,0)</f>
        <v>0</v>
      </c>
      <c r="J14" s="462" t="str">
        <f>"VK-Bedarf "&amp;B6&amp;" bei Plätzen"</f>
        <v>VK-Bedarf  bei Plätzen</v>
      </c>
    </row>
  </sheetData>
  <pageMargins left="0.7" right="0.7" top="0.78740157499999996" bottom="0.78740157499999996" header="0.3" footer="0.3"/>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X179"/>
  <sheetViews>
    <sheetView showGridLines="0" topLeftCell="A40" zoomScale="109" zoomScaleNormal="120" workbookViewId="0">
      <selection activeCell="K51" sqref="K51:K53"/>
    </sheetView>
  </sheetViews>
  <sheetFormatPr baseColWidth="10" defaultRowHeight="15.75"/>
  <cols>
    <col min="1" max="1" width="1.375" customWidth="1"/>
    <col min="2" max="2" width="20.5" customWidth="1"/>
    <col min="3" max="3" width="10.875" customWidth="1"/>
    <col min="4" max="4" width="16.5" customWidth="1"/>
    <col min="5" max="5" width="15.75" customWidth="1"/>
    <col min="6" max="6" width="10.875" customWidth="1"/>
    <col min="7" max="7" width="12.375" customWidth="1"/>
    <col min="8" max="8" width="25.625" customWidth="1"/>
    <col min="9" max="11" width="10.875" customWidth="1"/>
    <col min="12" max="12" width="26.625" customWidth="1"/>
    <col min="13" max="13" width="4.5" customWidth="1"/>
    <col min="14" max="14" width="43" customWidth="1"/>
    <col min="15" max="15" width="9.375" customWidth="1"/>
    <col min="16" max="16" width="14.625" bestFit="1" customWidth="1"/>
    <col min="17" max="17" width="11.625" customWidth="1"/>
    <col min="18" max="18" width="12.625" customWidth="1"/>
    <col min="19" max="19" width="14.625" bestFit="1" customWidth="1"/>
    <col min="20" max="20" width="13.125" customWidth="1"/>
    <col min="21" max="21" width="18" style="1" customWidth="1"/>
    <col min="22" max="22" width="14.375" customWidth="1"/>
    <col min="23" max="23" width="10.125" customWidth="1"/>
    <col min="24" max="24" width="11.375" style="12" customWidth="1"/>
    <col min="25" max="25" width="13" customWidth="1"/>
    <col min="26" max="27" width="11.125" customWidth="1"/>
    <col min="28" max="28" width="2.875" customWidth="1"/>
    <col min="29" max="33" width="8.5" customWidth="1"/>
  </cols>
  <sheetData>
    <row r="1" spans="2:24" ht="36" customHeight="1">
      <c r="B1" s="35" t="s">
        <v>120</v>
      </c>
      <c r="C1" s="503" t="s">
        <v>123</v>
      </c>
      <c r="D1" s="503"/>
      <c r="E1" s="503"/>
      <c r="F1" s="503"/>
      <c r="G1" s="503"/>
      <c r="H1" s="503"/>
      <c r="I1" s="503"/>
      <c r="J1" s="503"/>
      <c r="K1" s="503"/>
      <c r="L1" s="503"/>
    </row>
    <row r="2" spans="2:24" ht="20.100000000000001" customHeight="1">
      <c r="B2" s="56" t="s">
        <v>121</v>
      </c>
      <c r="C2" s="503" t="s">
        <v>124</v>
      </c>
      <c r="D2" s="503"/>
      <c r="E2" s="503"/>
      <c r="F2" s="503"/>
      <c r="G2" s="503"/>
      <c r="H2" s="503"/>
      <c r="I2" s="503"/>
      <c r="J2" s="503"/>
      <c r="K2" s="503"/>
      <c r="L2" s="503"/>
    </row>
    <row r="3" spans="2:24" ht="21" customHeight="1">
      <c r="B3" s="35"/>
      <c r="C3" s="503" t="s">
        <v>122</v>
      </c>
      <c r="D3" s="503"/>
      <c r="E3" s="503"/>
      <c r="F3" s="503"/>
      <c r="G3" s="503"/>
      <c r="H3" s="503"/>
      <c r="I3" s="503"/>
      <c r="J3" s="503"/>
      <c r="K3" s="503"/>
      <c r="L3" s="503"/>
      <c r="M3" s="35"/>
    </row>
    <row r="4" spans="2:24" ht="6.95" customHeight="1">
      <c r="B4" s="25"/>
      <c r="C4" s="25"/>
      <c r="D4" s="25"/>
      <c r="E4" s="25"/>
      <c r="F4" s="25"/>
      <c r="G4" s="25"/>
      <c r="H4" s="25"/>
      <c r="I4" s="25"/>
      <c r="J4" s="25"/>
      <c r="K4" s="25"/>
      <c r="L4" s="25"/>
    </row>
    <row r="5" spans="2:24" ht="60.95" customHeight="1">
      <c r="B5" s="28" t="s">
        <v>103</v>
      </c>
      <c r="C5" s="504" t="str">
        <f>'1. Übersicht'!B4</f>
        <v>In den Tabellenblättern 2.bis 2b. jeweils beim Personal angeben</v>
      </c>
      <c r="D5" s="505"/>
      <c r="F5" s="28" t="s">
        <v>108</v>
      </c>
      <c r="G5" s="506" t="s">
        <v>125</v>
      </c>
      <c r="H5" s="506"/>
      <c r="I5" s="506"/>
      <c r="K5" s="51" t="s">
        <v>156</v>
      </c>
      <c r="L5" s="295" t="s">
        <v>331</v>
      </c>
    </row>
    <row r="6" spans="2:24" ht="12" customHeight="1">
      <c r="F6" s="643" t="e">
        <f>IF(C5=#REF!,#REF!,IF(C5=#REF!,#REF!,IF(C5=#REF!,#REF!,IF(C5=#REF!,#REF!,IF(C5=#REF!,#REF!,IF(C5=#REF!,#REF!,IF(C5=#REF!,#REF!,IF(C5=#REF!,#REF!,#REF!))))))))</f>
        <v>#REF!</v>
      </c>
    </row>
    <row r="7" spans="2:24" ht="15.95" customHeight="1">
      <c r="B7" s="331" t="s">
        <v>9</v>
      </c>
      <c r="C7" s="5" t="s">
        <v>10</v>
      </c>
      <c r="D7" s="34">
        <v>1250</v>
      </c>
      <c r="F7" s="5" t="s">
        <v>8</v>
      </c>
      <c r="G7" s="5" t="s">
        <v>35</v>
      </c>
      <c r="H7" s="5" t="s">
        <v>36</v>
      </c>
      <c r="I7" s="5" t="s">
        <v>0</v>
      </c>
      <c r="J7" s="5" t="s">
        <v>1</v>
      </c>
      <c r="K7" s="5" t="s">
        <v>2</v>
      </c>
      <c r="L7" s="4"/>
      <c r="M7" s="35"/>
      <c r="N7" s="502"/>
      <c r="O7" s="35"/>
      <c r="P7" s="35"/>
      <c r="Q7" s="35"/>
      <c r="R7" s="35"/>
      <c r="S7" s="35"/>
      <c r="T7" s="35"/>
      <c r="U7" s="35"/>
      <c r="V7" s="35"/>
      <c r="W7" s="35"/>
      <c r="X7" s="35"/>
    </row>
    <row r="8" spans="2:24">
      <c r="B8" s="331" t="s">
        <v>13</v>
      </c>
      <c r="C8" s="5" t="s">
        <v>31</v>
      </c>
      <c r="D8" s="296"/>
      <c r="F8" s="5" t="s">
        <v>17</v>
      </c>
      <c r="G8" s="34" t="e">
        <f>MAX('5a. Kostenblatt'!F16,'5a. Kostenblatt'!J16:K16,'5a. Kostenblatt'!N16:O16)</f>
        <v>#VALUE!</v>
      </c>
      <c r="H8" s="34" t="e">
        <f>MAX('5a. Kostenblatt'!F17,'5a. Kostenblatt'!J17:K17,'5a. Kostenblatt'!N17:O17)</f>
        <v>#VALUE!</v>
      </c>
      <c r="I8" s="34" t="e">
        <f>MAX('5a. Kostenblatt'!F18,'5a. Kostenblatt'!J18:K18,'5a. Kostenblatt'!N18:O18)</f>
        <v>#VALUE!</v>
      </c>
      <c r="J8" s="34" t="e">
        <f>MAX('5a. Kostenblatt'!F19,'5a. Kostenblatt'!J19:K19,'5a. Kostenblatt'!N19:O19)</f>
        <v>#VALUE!</v>
      </c>
      <c r="K8" s="34" t="e">
        <f>MAX('5a. Kostenblatt'!F20,'5a. Kostenblatt'!J20:K20,'5a. Kostenblatt'!N20:O20)</f>
        <v>#VALUE!</v>
      </c>
      <c r="L8" s="4"/>
      <c r="N8" s="502"/>
      <c r="O8" s="35"/>
      <c r="P8" s="35"/>
      <c r="Q8" s="35"/>
      <c r="R8" s="35"/>
      <c r="S8" s="35"/>
      <c r="T8" s="35"/>
      <c r="U8" s="35"/>
      <c r="V8" s="35"/>
      <c r="W8" s="35"/>
      <c r="X8" s="35"/>
    </row>
    <row r="9" spans="2:24">
      <c r="B9" s="331" t="s">
        <v>14</v>
      </c>
      <c r="C9" s="5" t="s">
        <v>31</v>
      </c>
      <c r="D9" s="296"/>
      <c r="F9" s="5" t="s">
        <v>92</v>
      </c>
      <c r="G9" s="26">
        <f>D82+D96+D110+D167</f>
        <v>0</v>
      </c>
      <c r="H9" s="26">
        <f>D83+D97+D111+D168</f>
        <v>0</v>
      </c>
      <c r="I9" s="26">
        <f>D84+D98+D112+D169</f>
        <v>0</v>
      </c>
      <c r="J9" s="26">
        <f>D85+D99+D113+D170</f>
        <v>0</v>
      </c>
      <c r="K9" s="26">
        <f>D86+D100+D114+D171</f>
        <v>0</v>
      </c>
      <c r="L9" s="52">
        <f>SUM(G9:K9)</f>
        <v>0</v>
      </c>
      <c r="N9" s="502"/>
      <c r="O9" s="35"/>
      <c r="P9" s="35"/>
      <c r="Q9" s="35"/>
      <c r="R9" s="35"/>
      <c r="S9" s="35"/>
      <c r="T9" s="35"/>
      <c r="U9" s="35"/>
      <c r="V9" s="35"/>
      <c r="W9" s="35"/>
      <c r="X9" s="35"/>
    </row>
    <row r="10" spans="2:24">
      <c r="B10" s="331" t="s">
        <v>361</v>
      </c>
      <c r="C10" s="5" t="s">
        <v>32</v>
      </c>
      <c r="D10" s="296"/>
      <c r="F10" s="5" t="s">
        <v>101</v>
      </c>
      <c r="G10" s="26">
        <f>IFERROR(D51*E51,0)</f>
        <v>0</v>
      </c>
      <c r="H10" s="26" t="e">
        <f>D52*E52</f>
        <v>#VALUE!</v>
      </c>
      <c r="I10" s="26" t="e">
        <f>D53*E53</f>
        <v>#VALUE!</v>
      </c>
      <c r="J10" s="26">
        <f>D54*E54</f>
        <v>0</v>
      </c>
      <c r="K10" s="26">
        <f>D55*E55</f>
        <v>0</v>
      </c>
      <c r="L10" s="52" t="e">
        <f>SUM(G10:K10)</f>
        <v>#VALUE!</v>
      </c>
      <c r="N10" s="502"/>
      <c r="O10" s="35"/>
      <c r="P10" s="35"/>
      <c r="Q10" s="35"/>
      <c r="R10" s="35"/>
      <c r="S10" s="35"/>
      <c r="T10" s="35"/>
      <c r="U10" s="35"/>
      <c r="V10" s="35"/>
      <c r="W10" s="35"/>
      <c r="X10" s="35"/>
    </row>
    <row r="11" spans="2:24">
      <c r="B11" s="331" t="s">
        <v>91</v>
      </c>
      <c r="C11" s="5"/>
      <c r="D11" s="306"/>
      <c r="F11" s="5" t="s">
        <v>102</v>
      </c>
      <c r="G11" s="26">
        <f>G9+G10</f>
        <v>0</v>
      </c>
      <c r="H11" s="26" t="e">
        <f>H9+H10</f>
        <v>#VALUE!</v>
      </c>
      <c r="I11" s="26" t="e">
        <f>I9+I10</f>
        <v>#VALUE!</v>
      </c>
      <c r="J11" s="26">
        <f>J9+J10</f>
        <v>0</v>
      </c>
      <c r="K11" s="26">
        <f>K9+K10</f>
        <v>0</v>
      </c>
      <c r="L11" s="52" t="e">
        <f>SUM(G11:K11)</f>
        <v>#VALUE!</v>
      </c>
      <c r="N11" s="502"/>
      <c r="O11" s="35"/>
      <c r="P11" s="35"/>
      <c r="Q11" s="35"/>
      <c r="R11" s="35"/>
      <c r="S11" s="35"/>
      <c r="T11" s="35"/>
      <c r="U11" s="35"/>
      <c r="V11" s="35"/>
      <c r="W11" s="35"/>
      <c r="X11" s="35"/>
    </row>
    <row r="12" spans="2:24">
      <c r="B12" s="331" t="s">
        <v>332</v>
      </c>
      <c r="C12" s="5" t="s">
        <v>32</v>
      </c>
      <c r="D12" s="53">
        <f>D10*D11</f>
        <v>0</v>
      </c>
      <c r="F12" s="4"/>
      <c r="G12" s="4"/>
      <c r="H12" s="4"/>
      <c r="I12" s="4"/>
      <c r="J12" s="4"/>
      <c r="K12" s="4"/>
      <c r="L12" s="4"/>
      <c r="N12" s="502"/>
      <c r="O12" s="35"/>
      <c r="P12" s="35"/>
      <c r="Q12" s="35"/>
      <c r="R12" s="35"/>
      <c r="S12" s="35"/>
      <c r="T12" s="35"/>
      <c r="U12" s="35"/>
      <c r="V12" s="35"/>
      <c r="W12" s="35"/>
      <c r="X12" s="35"/>
    </row>
    <row r="13" spans="2:24">
      <c r="O13" s="35"/>
      <c r="P13" s="35"/>
      <c r="Q13" s="35"/>
      <c r="R13" s="35"/>
      <c r="S13" s="35"/>
      <c r="T13" s="35"/>
      <c r="U13" s="35"/>
      <c r="V13" s="35"/>
      <c r="W13" s="35"/>
      <c r="X13" s="35"/>
    </row>
    <row r="14" spans="2:24" ht="20.100000000000001" customHeight="1">
      <c r="B14" s="593"/>
      <c r="C14" s="594"/>
      <c r="D14" s="594"/>
      <c r="E14" s="594" t="s">
        <v>118</v>
      </c>
      <c r="F14" s="594"/>
      <c r="G14" s="594"/>
      <c r="H14" s="594"/>
      <c r="I14" s="594"/>
      <c r="J14" s="594"/>
      <c r="K14" s="594"/>
      <c r="L14" s="595"/>
      <c r="N14" s="35" t="s">
        <v>463</v>
      </c>
      <c r="O14" s="35"/>
      <c r="P14" s="35"/>
      <c r="Q14" s="35"/>
      <c r="R14" s="35"/>
      <c r="S14" s="35"/>
      <c r="T14" s="35"/>
      <c r="U14" s="35"/>
      <c r="V14" s="35"/>
      <c r="W14" s="35"/>
      <c r="X14" s="35"/>
    </row>
    <row r="15" spans="2:24" ht="6" customHeight="1"/>
    <row r="16" spans="2:24" s="39" customFormat="1" ht="56.1" customHeight="1">
      <c r="B16" s="597" t="s">
        <v>155</v>
      </c>
      <c r="C16" s="598"/>
      <c r="D16" s="599"/>
      <c r="E16" s="37"/>
      <c r="F16" s="597" t="s">
        <v>155</v>
      </c>
      <c r="G16" s="598"/>
      <c r="H16" s="599"/>
      <c r="I16" s="38"/>
      <c r="J16" s="597" t="s">
        <v>155</v>
      </c>
      <c r="K16" s="598"/>
      <c r="L16" s="599"/>
      <c r="U16" s="40"/>
      <c r="X16" s="41"/>
    </row>
    <row r="17" spans="2:24" ht="6" customHeight="1"/>
    <row r="18" spans="2:24" ht="31.5">
      <c r="C18" s="24" t="s">
        <v>30</v>
      </c>
      <c r="G18" s="24" t="s">
        <v>30</v>
      </c>
      <c r="K18" s="24" t="s">
        <v>30</v>
      </c>
    </row>
    <row r="19" spans="2:24">
      <c r="B19" s="4"/>
      <c r="C19" s="5" t="s">
        <v>3</v>
      </c>
      <c r="D19" s="5" t="s">
        <v>5</v>
      </c>
      <c r="F19" s="4"/>
      <c r="G19" s="5" t="s">
        <v>3</v>
      </c>
      <c r="H19" s="5" t="s">
        <v>5</v>
      </c>
      <c r="I19" s="1"/>
      <c r="J19" s="4"/>
      <c r="K19" s="5" t="s">
        <v>3</v>
      </c>
      <c r="L19" s="5" t="s">
        <v>5</v>
      </c>
    </row>
    <row r="20" spans="2:24">
      <c r="B20" s="4"/>
      <c r="C20" s="5" t="s">
        <v>4</v>
      </c>
      <c r="D20" s="5" t="s">
        <v>4</v>
      </c>
      <c r="F20" s="4"/>
      <c r="G20" s="5" t="s">
        <v>4</v>
      </c>
      <c r="H20" s="5" t="s">
        <v>4</v>
      </c>
      <c r="I20" s="1"/>
      <c r="J20" s="4"/>
      <c r="K20" s="5" t="s">
        <v>4</v>
      </c>
      <c r="L20" s="5" t="s">
        <v>4</v>
      </c>
    </row>
    <row r="21" spans="2:24">
      <c r="B21" s="2" t="s">
        <v>35</v>
      </c>
      <c r="C21" s="297"/>
      <c r="D21" s="297"/>
      <c r="F21" s="2" t="s">
        <v>35</v>
      </c>
      <c r="G21" s="297"/>
      <c r="H21" s="297"/>
      <c r="I21" s="9"/>
      <c r="J21" s="2" t="s">
        <v>35</v>
      </c>
      <c r="K21" s="297"/>
      <c r="L21" s="297"/>
      <c r="N21" s="645" t="s">
        <v>166</v>
      </c>
    </row>
    <row r="22" spans="2:24">
      <c r="B22" s="2" t="s">
        <v>36</v>
      </c>
      <c r="C22" s="297"/>
      <c r="D22" s="297"/>
      <c r="F22" s="2" t="s">
        <v>36</v>
      </c>
      <c r="G22" s="297"/>
      <c r="H22" s="297"/>
      <c r="I22" s="9"/>
      <c r="J22" s="2" t="s">
        <v>36</v>
      </c>
      <c r="K22" s="297"/>
      <c r="L22" s="297"/>
      <c r="N22" s="645"/>
    </row>
    <row r="23" spans="2:24">
      <c r="B23" s="2" t="s">
        <v>0</v>
      </c>
      <c r="C23" s="297"/>
      <c r="D23" s="297"/>
      <c r="F23" s="2" t="s">
        <v>0</v>
      </c>
      <c r="G23" s="297"/>
      <c r="H23" s="297"/>
      <c r="I23" s="9"/>
      <c r="J23" s="2" t="s">
        <v>0</v>
      </c>
      <c r="K23" s="297"/>
      <c r="L23" s="297"/>
      <c r="N23" s="645"/>
    </row>
    <row r="24" spans="2:24">
      <c r="B24" s="2" t="s">
        <v>1</v>
      </c>
      <c r="C24" s="297"/>
      <c r="D24" s="297"/>
      <c r="F24" s="2" t="s">
        <v>1</v>
      </c>
      <c r="G24" s="297"/>
      <c r="H24" s="297"/>
      <c r="I24" s="9"/>
      <c r="J24" s="2" t="s">
        <v>1</v>
      </c>
      <c r="K24" s="297"/>
      <c r="L24" s="297"/>
      <c r="N24" s="645"/>
    </row>
    <row r="25" spans="2:24" ht="16.5" thickBot="1">
      <c r="B25" s="7" t="s">
        <v>2</v>
      </c>
      <c r="C25" s="298"/>
      <c r="D25" s="299"/>
      <c r="F25" s="7" t="s">
        <v>2</v>
      </c>
      <c r="G25" s="298"/>
      <c r="H25" s="299"/>
      <c r="I25" s="9"/>
      <c r="J25" s="7" t="s">
        <v>2</v>
      </c>
      <c r="K25" s="298"/>
      <c r="L25" s="299"/>
      <c r="N25" s="645"/>
    </row>
    <row r="26" spans="2:24" ht="17.25" thickTop="1" thickBot="1">
      <c r="B26" s="10" t="s">
        <v>15</v>
      </c>
      <c r="C26" s="10">
        <f>SUM(C21:C25)</f>
        <v>0</v>
      </c>
      <c r="D26" s="16">
        <f>SUM(D21:D25)</f>
        <v>0</v>
      </c>
      <c r="F26" s="10" t="s">
        <v>15</v>
      </c>
      <c r="G26" s="10">
        <f>SUM(G21:G25)</f>
        <v>0</v>
      </c>
      <c r="H26" s="16">
        <f>SUM(H21:H25)</f>
        <v>0</v>
      </c>
      <c r="J26" s="10" t="s">
        <v>15</v>
      </c>
      <c r="K26" s="10">
        <f>SUM(K21:K25)</f>
        <v>0</v>
      </c>
      <c r="L26" s="16">
        <f>SUM(L21:L25)</f>
        <v>0</v>
      </c>
    </row>
    <row r="27" spans="2:24" ht="16.5" thickTop="1">
      <c r="B27" s="604"/>
      <c r="C27" s="604"/>
      <c r="D27" s="604"/>
      <c r="F27" s="604"/>
      <c r="G27" s="604"/>
      <c r="H27" s="604"/>
      <c r="J27" s="604"/>
      <c r="K27" s="604"/>
      <c r="L27" s="604"/>
    </row>
    <row r="28" spans="2:24">
      <c r="B28" s="2" t="s">
        <v>100</v>
      </c>
      <c r="C28" s="605" t="str">
        <f>IFERROR(I87/(Klienten*Tage_nach_Auslastung),"")</f>
        <v/>
      </c>
      <c r="D28" s="606"/>
      <c r="F28" s="2" t="s">
        <v>100</v>
      </c>
      <c r="G28" s="605" t="str">
        <f>IFERROR(I101/(Klienten*Tage_nach_Auslastung),"")</f>
        <v/>
      </c>
      <c r="H28" s="606"/>
      <c r="J28" s="2" t="s">
        <v>100</v>
      </c>
      <c r="K28" s="605" t="str">
        <f>IFERROR(I115/(Klienten*Tage_nach_Auslastung),"")</f>
        <v/>
      </c>
      <c r="L28" s="606"/>
    </row>
    <row r="29" spans="2:24" ht="21" customHeight="1"/>
    <row r="30" spans="2:24" s="39" customFormat="1" ht="56.1" customHeight="1">
      <c r="B30" s="596" t="s">
        <v>155</v>
      </c>
      <c r="C30" s="596"/>
      <c r="D30" s="596"/>
      <c r="E30" s="37"/>
      <c r="F30" s="596" t="s">
        <v>155</v>
      </c>
      <c r="G30" s="596"/>
      <c r="H30" s="596"/>
      <c r="I30" s="38"/>
      <c r="J30" s="596" t="s">
        <v>155</v>
      </c>
      <c r="K30" s="596"/>
      <c r="L30" s="596"/>
      <c r="U30" s="40"/>
      <c r="X30" s="41"/>
    </row>
    <row r="31" spans="2:24" ht="6" customHeight="1"/>
    <row r="32" spans="2:24" ht="31.5">
      <c r="C32" s="24" t="s">
        <v>30</v>
      </c>
      <c r="G32" s="24" t="s">
        <v>30</v>
      </c>
      <c r="K32" s="24" t="s">
        <v>30</v>
      </c>
    </row>
    <row r="33" spans="2:24">
      <c r="B33" s="4"/>
      <c r="C33" s="5" t="s">
        <v>3</v>
      </c>
      <c r="D33" s="5" t="s">
        <v>5</v>
      </c>
      <c r="F33" s="4"/>
      <c r="G33" s="5" t="s">
        <v>3</v>
      </c>
      <c r="H33" s="5" t="s">
        <v>5</v>
      </c>
      <c r="I33" s="1"/>
      <c r="J33" s="4"/>
      <c r="K33" s="5" t="s">
        <v>3</v>
      </c>
      <c r="L33" s="5" t="s">
        <v>5</v>
      </c>
    </row>
    <row r="34" spans="2:24">
      <c r="B34" s="4"/>
      <c r="C34" s="5" t="s">
        <v>4</v>
      </c>
      <c r="D34" s="5" t="s">
        <v>4</v>
      </c>
      <c r="F34" s="4"/>
      <c r="G34" s="5" t="s">
        <v>4</v>
      </c>
      <c r="H34" s="5" t="s">
        <v>4</v>
      </c>
      <c r="I34" s="1"/>
      <c r="J34" s="4"/>
      <c r="K34" s="5" t="s">
        <v>4</v>
      </c>
      <c r="L34" s="5" t="s">
        <v>4</v>
      </c>
    </row>
    <row r="35" spans="2:24">
      <c r="B35" s="2" t="s">
        <v>35</v>
      </c>
      <c r="C35" s="297"/>
      <c r="D35" s="297"/>
      <c r="F35" s="2" t="s">
        <v>35</v>
      </c>
      <c r="G35" s="297"/>
      <c r="H35" s="297"/>
      <c r="I35" s="9"/>
      <c r="J35" s="2" t="s">
        <v>35</v>
      </c>
      <c r="K35" s="297"/>
      <c r="L35" s="297"/>
      <c r="N35" s="645" t="s">
        <v>166</v>
      </c>
    </row>
    <row r="36" spans="2:24">
      <c r="B36" s="2" t="s">
        <v>36</v>
      </c>
      <c r="C36" s="297"/>
      <c r="D36" s="297"/>
      <c r="F36" s="2" t="s">
        <v>36</v>
      </c>
      <c r="G36" s="297"/>
      <c r="H36" s="297"/>
      <c r="I36" s="9"/>
      <c r="J36" s="2" t="s">
        <v>36</v>
      </c>
      <c r="K36" s="297"/>
      <c r="L36" s="297"/>
      <c r="N36" s="497"/>
    </row>
    <row r="37" spans="2:24">
      <c r="B37" s="2" t="s">
        <v>0</v>
      </c>
      <c r="C37" s="297"/>
      <c r="D37" s="297"/>
      <c r="F37" s="2" t="s">
        <v>0</v>
      </c>
      <c r="G37" s="297"/>
      <c r="H37" s="297"/>
      <c r="I37" s="9"/>
      <c r="J37" s="2" t="s">
        <v>0</v>
      </c>
      <c r="K37" s="297"/>
      <c r="L37" s="297"/>
      <c r="N37" s="497"/>
    </row>
    <row r="38" spans="2:24">
      <c r="B38" s="2" t="s">
        <v>1</v>
      </c>
      <c r="C38" s="297"/>
      <c r="D38" s="297"/>
      <c r="F38" s="2" t="s">
        <v>1</v>
      </c>
      <c r="G38" s="297"/>
      <c r="H38" s="297"/>
      <c r="I38" s="9"/>
      <c r="J38" s="2" t="s">
        <v>1</v>
      </c>
      <c r="K38" s="297"/>
      <c r="L38" s="297"/>
      <c r="N38" s="497"/>
    </row>
    <row r="39" spans="2:24" ht="16.5" thickBot="1">
      <c r="B39" s="7" t="s">
        <v>2</v>
      </c>
      <c r="C39" s="298"/>
      <c r="D39" s="299"/>
      <c r="F39" s="7" t="s">
        <v>2</v>
      </c>
      <c r="G39" s="298"/>
      <c r="H39" s="299"/>
      <c r="I39" s="9"/>
      <c r="J39" s="7" t="s">
        <v>2</v>
      </c>
      <c r="K39" s="298"/>
      <c r="L39" s="299"/>
      <c r="N39" s="497"/>
    </row>
    <row r="40" spans="2:24" ht="17.25" thickTop="1" thickBot="1">
      <c r="B40" s="10" t="s">
        <v>15</v>
      </c>
      <c r="C40" s="10">
        <f>SUM(C35:C39)</f>
        <v>0</v>
      </c>
      <c r="D40" s="16">
        <f>SUM(D35:D39)</f>
        <v>0</v>
      </c>
      <c r="F40" s="10" t="s">
        <v>15</v>
      </c>
      <c r="G40" s="10">
        <f>SUM(G35:G39)</f>
        <v>0</v>
      </c>
      <c r="H40" s="16">
        <f>SUM(H35:H39)</f>
        <v>0</v>
      </c>
      <c r="J40" s="10" t="s">
        <v>15</v>
      </c>
      <c r="K40" s="10">
        <f>SUM(K35:K39)</f>
        <v>0</v>
      </c>
      <c r="L40" s="16">
        <f>SUM(L35:L39)</f>
        <v>0</v>
      </c>
    </row>
    <row r="41" spans="2:24" ht="16.5" thickTop="1">
      <c r="B41" s="604"/>
      <c r="C41" s="604"/>
      <c r="D41" s="604"/>
      <c r="F41" s="604"/>
      <c r="G41" s="604"/>
      <c r="H41" s="604"/>
      <c r="J41" s="604"/>
      <c r="K41" s="604"/>
      <c r="L41" s="604"/>
    </row>
    <row r="42" spans="2:24">
      <c r="B42" s="2" t="s">
        <v>100</v>
      </c>
      <c r="C42" s="605" t="str">
        <f>IFERROR(I129/(Klienten*Tage_nach_Auslastung),"")</f>
        <v/>
      </c>
      <c r="D42" s="606"/>
      <c r="F42" s="2" t="s">
        <v>100</v>
      </c>
      <c r="G42" s="605" t="str">
        <f>IFERROR(I115/(Klienten*Tage_nach_Auslastung),"")</f>
        <v/>
      </c>
      <c r="H42" s="606"/>
      <c r="J42" s="2" t="s">
        <v>100</v>
      </c>
      <c r="K42" s="605" t="str">
        <f>IFERROR(I171/(Klienten*Tage_nach_Auslastung),"")</f>
        <v/>
      </c>
      <c r="L42" s="606"/>
    </row>
    <row r="43" spans="2:24" ht="21" customHeight="1"/>
    <row r="44" spans="2:24" ht="21" customHeight="1">
      <c r="B44" s="575"/>
      <c r="C44" s="576"/>
      <c r="D44" s="576"/>
      <c r="E44" s="576" t="s">
        <v>80</v>
      </c>
      <c r="F44" s="576"/>
      <c r="G44" s="576"/>
      <c r="H44" s="576"/>
      <c r="I44" s="576"/>
      <c r="J44" s="576"/>
      <c r="K44" s="576"/>
      <c r="L44" s="577"/>
      <c r="U44"/>
      <c r="X44"/>
    </row>
    <row r="45" spans="2:24" ht="6" customHeight="1">
      <c r="N45" s="1"/>
      <c r="P45" s="1"/>
    </row>
    <row r="46" spans="2:24" ht="31.5">
      <c r="C46" s="24" t="s">
        <v>30</v>
      </c>
    </row>
    <row r="47" spans="2:24">
      <c r="B47" s="4"/>
      <c r="C47" s="5" t="s">
        <v>3</v>
      </c>
      <c r="D47" s="588"/>
      <c r="E47" s="589"/>
      <c r="F47" s="589"/>
      <c r="G47" s="589" t="s">
        <v>5</v>
      </c>
      <c r="H47" s="589"/>
      <c r="I47" s="590"/>
      <c r="J47" s="5"/>
      <c r="K47" s="5"/>
      <c r="L47" s="5"/>
    </row>
    <row r="48" spans="2:24" ht="63">
      <c r="B48" s="4"/>
      <c r="C48" s="5"/>
      <c r="D48" s="13" t="s">
        <v>33</v>
      </c>
      <c r="E48" s="13" t="s">
        <v>34</v>
      </c>
      <c r="F48" s="13" t="s">
        <v>47</v>
      </c>
      <c r="G48" s="13" t="s">
        <v>48</v>
      </c>
      <c r="H48" s="5" t="s">
        <v>6</v>
      </c>
      <c r="I48" s="5" t="s">
        <v>41</v>
      </c>
      <c r="J48" s="5" t="s">
        <v>45</v>
      </c>
      <c r="K48" s="13" t="s">
        <v>34</v>
      </c>
      <c r="L48" s="5"/>
      <c r="N48" s="646" t="s">
        <v>135</v>
      </c>
    </row>
    <row r="49" spans="2:24">
      <c r="B49" s="4"/>
      <c r="C49" s="5"/>
      <c r="D49" s="13"/>
      <c r="E49" s="13"/>
      <c r="F49" s="609"/>
      <c r="G49" s="610"/>
      <c r="H49" s="5"/>
      <c r="I49" s="5"/>
      <c r="J49" s="5"/>
      <c r="K49" s="13"/>
      <c r="L49" s="5"/>
      <c r="N49" s="350"/>
    </row>
    <row r="50" spans="2:24">
      <c r="B50" s="4"/>
      <c r="C50" s="5" t="s">
        <v>4</v>
      </c>
      <c r="D50" s="5" t="s">
        <v>4</v>
      </c>
      <c r="E50" s="5" t="s">
        <v>42</v>
      </c>
      <c r="F50" s="5" t="s">
        <v>7</v>
      </c>
      <c r="G50" s="5" t="s">
        <v>7</v>
      </c>
      <c r="H50" s="5" t="s">
        <v>4</v>
      </c>
      <c r="I50" s="5" t="s">
        <v>4</v>
      </c>
      <c r="J50" s="5" t="s">
        <v>17</v>
      </c>
      <c r="K50" s="5" t="s">
        <v>17</v>
      </c>
      <c r="L50" s="5"/>
    </row>
    <row r="51" spans="2:24" ht="15.6" customHeight="1">
      <c r="B51" s="46" t="s">
        <v>35</v>
      </c>
      <c r="C51" s="297"/>
      <c r="D51" s="297"/>
      <c r="E51" s="651" t="s">
        <v>491</v>
      </c>
      <c r="F51" s="300"/>
      <c r="G51" s="300"/>
      <c r="H51" s="2">
        <f>D51*F51%</f>
        <v>0</v>
      </c>
      <c r="I51" s="2">
        <f>D51*G51%</f>
        <v>0</v>
      </c>
      <c r="J51" s="265" t="e">
        <f>I167/(D51*h_netto_1VKpa*Auslastung)</f>
        <v>#VALUE!</v>
      </c>
      <c r="K51" s="654" t="s">
        <v>494</v>
      </c>
      <c r="L51" s="19" t="s">
        <v>43</v>
      </c>
      <c r="M51" s="601"/>
      <c r="N51" s="647" t="str">
        <f>IF(D56&gt;C56,"Sie planen zukünftig mit mehr Personal. Erläutern Sie im Anschreiben an das LSJV woraus sich der erhöhte Personalbedarf ergibt.","")</f>
        <v/>
      </c>
    </row>
    <row r="52" spans="2:24">
      <c r="B52" s="46" t="s">
        <v>36</v>
      </c>
      <c r="C52" s="297"/>
      <c r="D52" s="297"/>
      <c r="E52" s="652" t="s">
        <v>492</v>
      </c>
      <c r="F52" s="300"/>
      <c r="G52" s="300"/>
      <c r="H52" s="2">
        <f>D52*F52%</f>
        <v>0</v>
      </c>
      <c r="I52" s="2">
        <f>D52*G52%</f>
        <v>0</v>
      </c>
      <c r="J52" s="265" t="e">
        <f>I168/(D52*h_netto_1VKpa*Auslastung)</f>
        <v>#VALUE!</v>
      </c>
      <c r="K52" s="655" t="s">
        <v>495</v>
      </c>
      <c r="L52" s="19" t="s">
        <v>44</v>
      </c>
      <c r="M52" s="602" t="s">
        <v>6</v>
      </c>
      <c r="N52" s="600"/>
    </row>
    <row r="53" spans="2:24">
      <c r="B53" s="46" t="s">
        <v>0</v>
      </c>
      <c r="C53" s="297"/>
      <c r="D53" s="297"/>
      <c r="E53" s="653" t="s">
        <v>493</v>
      </c>
      <c r="F53" s="300"/>
      <c r="G53" s="300"/>
      <c r="H53" s="2">
        <f>D53*F53%</f>
        <v>0</v>
      </c>
      <c r="I53" s="2">
        <f>D53*G53%</f>
        <v>0</v>
      </c>
      <c r="J53" s="265" t="e">
        <f>I169/(D53*h_netto_1VKpa*Auslastung)</f>
        <v>#VALUE!</v>
      </c>
      <c r="K53" s="655" t="s">
        <v>496</v>
      </c>
      <c r="L53" s="19" t="s">
        <v>23</v>
      </c>
      <c r="M53" s="603"/>
      <c r="N53" s="600"/>
    </row>
    <row r="54" spans="2:24">
      <c r="B54" s="46" t="s">
        <v>1</v>
      </c>
      <c r="C54" s="297"/>
      <c r="D54" s="297"/>
      <c r="E54" s="607"/>
      <c r="F54" s="300"/>
      <c r="G54" s="300"/>
      <c r="H54" s="2">
        <f>D54*F54%</f>
        <v>0</v>
      </c>
      <c r="I54" s="2">
        <f>D54*G54%</f>
        <v>0</v>
      </c>
      <c r="J54" s="265" t="e">
        <f>I170/(D54*h_netto_1VKpa*Auslastung)</f>
        <v>#VALUE!</v>
      </c>
      <c r="K54" s="608"/>
      <c r="L54" s="19" t="s">
        <v>24</v>
      </c>
      <c r="M54" s="601" t="s">
        <v>41</v>
      </c>
      <c r="N54" s="600"/>
    </row>
    <row r="55" spans="2:24" ht="16.5" thickBot="1">
      <c r="B55" s="47" t="s">
        <v>2</v>
      </c>
      <c r="C55" s="297"/>
      <c r="D55" s="297"/>
      <c r="E55" s="607"/>
      <c r="F55" s="300"/>
      <c r="G55" s="300"/>
      <c r="H55" s="2">
        <f>D55*F55%</f>
        <v>0</v>
      </c>
      <c r="I55" s="2">
        <f>D55*G55%</f>
        <v>0</v>
      </c>
      <c r="J55" s="265" t="e">
        <f>I171/(D55*h_netto_1VKpa*Auslastung)</f>
        <v>#VALUE!</v>
      </c>
      <c r="K55" s="608"/>
      <c r="L55" s="87" t="s">
        <v>25</v>
      </c>
      <c r="M55" s="603"/>
      <c r="N55" s="600"/>
    </row>
    <row r="56" spans="2:24" ht="18.95" customHeight="1" thickTop="1" thickBot="1">
      <c r="B56" s="48" t="s">
        <v>15</v>
      </c>
      <c r="C56" s="45">
        <f>SUM(C51:C55)</f>
        <v>0</v>
      </c>
      <c r="D56" s="45">
        <f>SUM(D51:D55)</f>
        <v>0</v>
      </c>
      <c r="E56" s="16">
        <f>IFERROR(D51*E51+D52*E52+D53*E53+D54*E54+D55*E55,0)</f>
        <v>0</v>
      </c>
      <c r="F56" s="16"/>
      <c r="G56" s="16"/>
      <c r="H56" s="10">
        <f>SUM(H51:H55)</f>
        <v>0</v>
      </c>
      <c r="I56" s="10">
        <f>SUM(I51:I55)</f>
        <v>0</v>
      </c>
      <c r="N56" s="648" t="str">
        <f ca="1">IF((C26+G26+K26+C56)=ROUND('2. Betreuungspersonal'!G5,2),"","Die Personalmenge in Zelle G5 Tabellenblatt 2. (IST) stimmt nicht mit der Summe der pauschalen und individuellen Leistungen (IST) in dieser Tabelle (C26+G26+K26+C42) überein")</f>
        <v/>
      </c>
    </row>
    <row r="57" spans="2:24" ht="17.100000000000001" customHeight="1" thickTop="1" thickBot="1">
      <c r="D57" s="611">
        <f>D56+E56</f>
        <v>0</v>
      </c>
      <c r="E57" s="612"/>
      <c r="F57" s="644">
        <f>SUM(F51:G55)</f>
        <v>0</v>
      </c>
      <c r="K57" s="31" t="s">
        <v>286</v>
      </c>
      <c r="L57" s="330">
        <f>IFERROR(Basiskosten_iL/(D58*Auslastung),0)</f>
        <v>0</v>
      </c>
      <c r="N57" s="507"/>
    </row>
    <row r="58" spans="2:24" ht="16.5" thickTop="1">
      <c r="C58" s="12" t="s">
        <v>159</v>
      </c>
      <c r="D58" s="613">
        <f>D57*1250</f>
        <v>0</v>
      </c>
      <c r="E58" s="614"/>
      <c r="G58" s="23" t="s">
        <v>11</v>
      </c>
      <c r="H58" s="6">
        <f>H56*D7</f>
        <v>0</v>
      </c>
      <c r="I58" s="6">
        <f>I56*D7</f>
        <v>0</v>
      </c>
      <c r="K58" s="32" t="s">
        <v>39</v>
      </c>
      <c r="L58" s="18">
        <f>IFERROR(PK_qA/(h_pa_qA*Auslastung),0)</f>
        <v>0</v>
      </c>
      <c r="N58" s="507"/>
    </row>
    <row r="59" spans="2:24">
      <c r="D59" s="616"/>
      <c r="E59" s="615"/>
      <c r="G59" s="23" t="s">
        <v>16</v>
      </c>
      <c r="H59" s="11" t="str">
        <f>IFERROR(H58/D8/D9,"")</f>
        <v/>
      </c>
      <c r="I59" s="11" t="str">
        <f>IFERROR(I58/D8/D9,"")</f>
        <v/>
      </c>
      <c r="K59" s="32" t="s">
        <v>40</v>
      </c>
      <c r="L59" s="18">
        <f>IFERROR(PK_kA/(h_pa_kA*Auslastung),0)</f>
        <v>0</v>
      </c>
      <c r="N59" s="507"/>
    </row>
    <row r="60" spans="2:24" ht="20.100000000000001" customHeight="1">
      <c r="D60" s="617"/>
      <c r="E60" s="617"/>
      <c r="H60" s="9"/>
      <c r="I60" s="9"/>
      <c r="J60" s="9"/>
      <c r="K60" s="9"/>
      <c r="L60" s="9"/>
      <c r="T60" s="1"/>
      <c r="U60"/>
      <c r="X60"/>
    </row>
    <row r="61" spans="2:24" ht="18.95" customHeight="1">
      <c r="B61" s="575" t="s">
        <v>37</v>
      </c>
      <c r="C61" s="576"/>
      <c r="D61" s="576"/>
      <c r="E61" s="576"/>
      <c r="F61" s="576"/>
      <c r="G61" s="576"/>
      <c r="H61" s="576"/>
      <c r="I61" s="576"/>
      <c r="J61" s="576"/>
      <c r="K61" s="576"/>
      <c r="L61" s="577"/>
      <c r="U61"/>
      <c r="X61"/>
    </row>
    <row r="62" spans="2:24" ht="5.0999999999999996" customHeight="1">
      <c r="U62"/>
      <c r="X62"/>
    </row>
    <row r="63" spans="2:24" ht="18" customHeight="1">
      <c r="B63" s="615"/>
      <c r="C63" s="615"/>
      <c r="D63" s="615"/>
      <c r="E63" s="649" t="s">
        <v>167</v>
      </c>
      <c r="F63" s="615"/>
      <c r="G63" s="615"/>
      <c r="H63" s="615"/>
      <c r="I63" s="615"/>
      <c r="J63" s="615"/>
      <c r="K63" s="615"/>
      <c r="L63" s="615"/>
      <c r="T63" s="1"/>
      <c r="U63"/>
      <c r="W63" s="12"/>
      <c r="X63"/>
    </row>
    <row r="64" spans="2:24" hidden="1">
      <c r="B64" s="20" t="s">
        <v>6</v>
      </c>
      <c r="C64" s="20" t="s">
        <v>41</v>
      </c>
      <c r="D64" s="20" t="s">
        <v>15</v>
      </c>
      <c r="E64" s="1"/>
      <c r="H64" s="20" t="s">
        <v>6</v>
      </c>
      <c r="I64" s="20" t="s">
        <v>41</v>
      </c>
      <c r="N64" s="502" t="e">
        <f>IF(D56+E56&lt;0,"Die nach vereinbarter Logik mögliche Personalmenge von max. "&amp;D68&amp;" VK innerhalb der Spanne wird überschritten (s.o. "&amp;D56&amp;" &amp; "&amp;E56&amp;").",IF(D56+E56&lt;D66,"Die nach vereinbarter Logik erforderliche Personalmenge von min. "&amp;D66&amp;" VK innerhalb der Spanne wird unterschritten (s.o. "&amp;D56&amp;" &amp; "&amp;E56&amp;").",""))</f>
        <v>#VALUE!</v>
      </c>
      <c r="T64" s="1"/>
      <c r="W64" s="12"/>
      <c r="X64"/>
    </row>
    <row r="65" spans="1:24" hidden="1">
      <c r="B65" s="20" t="s">
        <v>10</v>
      </c>
      <c r="C65" s="20" t="s">
        <v>10</v>
      </c>
      <c r="D65" s="20" t="s">
        <v>10</v>
      </c>
      <c r="E65" s="1"/>
      <c r="H65" s="20" t="s">
        <v>10</v>
      </c>
      <c r="I65" s="20" t="s">
        <v>10</v>
      </c>
      <c r="N65" s="502"/>
      <c r="T65" s="1"/>
      <c r="W65" s="12"/>
      <c r="X65"/>
    </row>
    <row r="66" spans="1:24" hidden="1">
      <c r="B66" s="18" t="e">
        <f>IF(H59&gt;11,(H59-1)*D8*D9/D7,(H59-0.5)*D8*D9/D7)</f>
        <v>#VALUE!</v>
      </c>
      <c r="C66" s="18" t="e">
        <f>IF(I59&gt;11,(I59-1)*D8*D9/D7,(I59-0.5)*D8*D9/D7)</f>
        <v>#VALUE!</v>
      </c>
      <c r="D66" s="18" t="e">
        <f>ROUND(B66+C66,2)</f>
        <v>#VALUE!</v>
      </c>
      <c r="E66" s="499" t="s">
        <v>27</v>
      </c>
      <c r="F66" s="500"/>
      <c r="G66" s="501"/>
      <c r="H66" s="19" t="e">
        <f t="shared" ref="H66:I68" si="0">B66*h_netto_1VKpa</f>
        <v>#VALUE!</v>
      </c>
      <c r="I66" s="19" t="e">
        <f t="shared" si="0"/>
        <v>#VALUE!</v>
      </c>
      <c r="N66" s="502"/>
      <c r="T66" s="1"/>
      <c r="W66" s="12"/>
      <c r="X66"/>
    </row>
    <row r="67" spans="1:24" hidden="1">
      <c r="B67" s="18">
        <f>H56</f>
        <v>0</v>
      </c>
      <c r="C67" s="18">
        <f>I56</f>
        <v>0</v>
      </c>
      <c r="D67" s="18">
        <f>B67+C67</f>
        <v>0</v>
      </c>
      <c r="E67" s="499" t="s">
        <v>29</v>
      </c>
      <c r="F67" s="500"/>
      <c r="G67" s="501"/>
      <c r="H67" s="19">
        <f t="shared" si="0"/>
        <v>0</v>
      </c>
      <c r="I67" s="19">
        <f t="shared" si="0"/>
        <v>0</v>
      </c>
      <c r="N67" s="502"/>
      <c r="T67" s="1"/>
      <c r="W67" s="12"/>
      <c r="X67"/>
    </row>
    <row r="68" spans="1:24" hidden="1">
      <c r="B68" s="18" t="e">
        <f>IF(H59&gt;11,(H59+1)*D8*D9/D7,(H59+0.5)*D8*D9/D7)</f>
        <v>#VALUE!</v>
      </c>
      <c r="C68" s="18" t="e">
        <f>IF(I59&gt;11,(I59+1)*D8*D9/D7,(I59+0.5)*D8*D9/D7)</f>
        <v>#VALUE!</v>
      </c>
      <c r="D68" s="18" t="e">
        <f>ROUND(B68+C68,2)</f>
        <v>#VALUE!</v>
      </c>
      <c r="E68" s="499" t="s">
        <v>28</v>
      </c>
      <c r="F68" s="500"/>
      <c r="G68" s="501"/>
      <c r="H68" s="19" t="e">
        <f t="shared" si="0"/>
        <v>#VALUE!</v>
      </c>
      <c r="I68" s="19" t="e">
        <f t="shared" si="0"/>
        <v>#VALUE!</v>
      </c>
      <c r="N68" s="502"/>
      <c r="T68" s="1"/>
      <c r="W68" s="12"/>
      <c r="X68"/>
    </row>
    <row r="69" spans="1:24" ht="6" hidden="1" customHeight="1">
      <c r="N69" s="502"/>
      <c r="T69" s="1"/>
      <c r="W69" s="12"/>
      <c r="X69"/>
    </row>
    <row r="70" spans="1:24" hidden="1">
      <c r="B70" s="11" t="e">
        <f>B68-B66</f>
        <v>#VALUE!</v>
      </c>
      <c r="C70" s="11" t="e">
        <f>C68-C66</f>
        <v>#VALUE!</v>
      </c>
      <c r="D70" s="11" t="e">
        <f>D68-D66</f>
        <v>#VALUE!</v>
      </c>
      <c r="E70" s="499" t="s">
        <v>12</v>
      </c>
      <c r="F70" s="500"/>
      <c r="G70" s="500"/>
      <c r="H70" s="6" t="e">
        <f>H68-H66</f>
        <v>#VALUE!</v>
      </c>
      <c r="I70" s="6" t="e">
        <f>I68-I66</f>
        <v>#VALUE!</v>
      </c>
      <c r="N70" s="502"/>
      <c r="T70" s="1"/>
      <c r="W70" s="12"/>
      <c r="X70"/>
    </row>
    <row r="71" spans="1:24" hidden="1">
      <c r="F71" t="s">
        <v>38</v>
      </c>
      <c r="H71" s="21" t="e">
        <f>H70/2*100/H67</f>
        <v>#VALUE!</v>
      </c>
      <c r="I71" s="21" t="e">
        <f>I70/2*100/I67</f>
        <v>#VALUE!</v>
      </c>
      <c r="N71" s="502"/>
      <c r="T71" s="1"/>
      <c r="W71" s="12"/>
      <c r="X71"/>
    </row>
    <row r="72" spans="1:24" hidden="1">
      <c r="T72" s="1"/>
      <c r="W72" s="12"/>
      <c r="X72"/>
    </row>
    <row r="73" spans="1:24" ht="23.1" hidden="1" customHeight="1">
      <c r="B73" s="508" t="e">
        <f>"Die Referenzausstattung Gesamtpersonal in VK zu § …. beträgt unter Berücksichtigung des gewählten Spannenwertes "&amp;L11&amp;" VK."</f>
        <v>#VALUE!</v>
      </c>
      <c r="C73" s="508"/>
      <c r="D73" s="508"/>
      <c r="E73" s="508"/>
      <c r="F73" s="508"/>
      <c r="G73" s="508"/>
      <c r="H73" s="508"/>
      <c r="I73" s="508"/>
      <c r="J73" s="508"/>
      <c r="K73" s="508"/>
      <c r="L73" s="508"/>
    </row>
    <row r="74" spans="1:24" ht="15.95" customHeight="1">
      <c r="A74" s="33"/>
      <c r="C74" s="33"/>
      <c r="D74" s="33"/>
      <c r="E74" s="33"/>
      <c r="F74" s="33"/>
      <c r="G74" s="33"/>
      <c r="H74" s="33"/>
      <c r="I74" s="33"/>
      <c r="J74" s="33"/>
      <c r="K74" s="33"/>
      <c r="L74" s="33"/>
    </row>
    <row r="75" spans="1:24">
      <c r="B75" s="579" t="str">
        <f>"Berechnung "&amp;B16</f>
        <v>Berechnung Bitte auswählen, wenn zutreffend oder eingeben.</v>
      </c>
      <c r="C75" s="580"/>
      <c r="D75" s="580"/>
      <c r="E75" s="580"/>
      <c r="F75" s="580"/>
      <c r="G75" s="580"/>
      <c r="H75" s="580"/>
      <c r="I75" s="580"/>
      <c r="J75" s="580"/>
      <c r="K75" s="580"/>
      <c r="L75" s="581"/>
    </row>
    <row r="76" spans="1:24" ht="8.1" customHeight="1">
      <c r="B76" s="1"/>
      <c r="C76" s="1"/>
      <c r="D76" s="1"/>
      <c r="E76" s="1"/>
      <c r="F76" s="1"/>
      <c r="G76" s="1"/>
      <c r="H76" s="1"/>
      <c r="I76" s="1"/>
      <c r="J76" s="1"/>
      <c r="K76" s="1"/>
      <c r="L76" s="1"/>
    </row>
    <row r="77" spans="1:24" ht="31.5">
      <c r="F77" s="2"/>
      <c r="G77" s="24" t="s">
        <v>96</v>
      </c>
      <c r="H77" s="24" t="s">
        <v>97</v>
      </c>
      <c r="I77" s="2"/>
      <c r="J77" s="1"/>
    </row>
    <row r="78" spans="1:24">
      <c r="F78" s="4"/>
      <c r="G78" s="54" t="e">
        <f>'5a. Kostenblatt'!G25</f>
        <v>#DIV/0!</v>
      </c>
      <c r="H78" s="54" t="e">
        <f>'5a. Kostenblatt'!G36</f>
        <v>#DIV/0!</v>
      </c>
      <c r="I78" s="4"/>
      <c r="N78" s="650" t="str">
        <f>IF(B75="Berechnung "&amp;Listen!E2,"Zum Aufschlagswert Sach- und Investitionskosten werden noch zeitnah differenzierte Standards für Tagesstrukturen außerhalb besonderer Wohnformen vereinbart (durch die GK).","")</f>
        <v/>
      </c>
    </row>
    <row r="79" spans="1:24">
      <c r="B79" s="5" t="s">
        <v>20</v>
      </c>
      <c r="C79" s="1"/>
      <c r="D79" s="5" t="s">
        <v>5</v>
      </c>
      <c r="E79" s="1"/>
      <c r="F79" s="5"/>
      <c r="G79" s="5" t="s">
        <v>20</v>
      </c>
      <c r="H79" s="5" t="s">
        <v>20</v>
      </c>
      <c r="I79" s="5" t="s">
        <v>15</v>
      </c>
      <c r="J79" s="1"/>
      <c r="N79" s="375"/>
    </row>
    <row r="80" spans="1:24" ht="31.5">
      <c r="B80" s="5" t="s">
        <v>8</v>
      </c>
      <c r="C80" s="1"/>
      <c r="D80" s="5"/>
      <c r="E80" s="1"/>
      <c r="F80" s="5"/>
      <c r="G80" s="13" t="s">
        <v>19</v>
      </c>
      <c r="H80" s="5" t="s">
        <v>18</v>
      </c>
      <c r="I80" s="5"/>
      <c r="J80" s="1"/>
      <c r="N80" s="375"/>
    </row>
    <row r="81" spans="2:14">
      <c r="B81" s="5" t="s">
        <v>17</v>
      </c>
      <c r="C81" s="1"/>
      <c r="D81" s="5" t="s">
        <v>4</v>
      </c>
      <c r="E81" s="1"/>
      <c r="F81" s="5" t="s">
        <v>17</v>
      </c>
      <c r="G81" s="5" t="s">
        <v>17</v>
      </c>
      <c r="H81" s="5" t="s">
        <v>17</v>
      </c>
      <c r="I81" s="5" t="s">
        <v>17</v>
      </c>
      <c r="J81" s="1"/>
      <c r="N81" s="375"/>
    </row>
    <row r="82" spans="2:14">
      <c r="B82" s="17" t="e">
        <f>G8</f>
        <v>#VALUE!</v>
      </c>
      <c r="C82" s="1" t="s">
        <v>21</v>
      </c>
      <c r="D82" s="11">
        <f>D21</f>
        <v>0</v>
      </c>
      <c r="E82" s="14" t="s">
        <v>22</v>
      </c>
      <c r="F82" s="6" t="e">
        <f>B82*D82</f>
        <v>#VALUE!</v>
      </c>
      <c r="G82" s="6" t="e">
        <f>F82*$G$78</f>
        <v>#VALUE!</v>
      </c>
      <c r="H82" s="6" t="e">
        <f>(F82+G82)*$H$78</f>
        <v>#VALUE!</v>
      </c>
      <c r="I82" s="6" t="e">
        <f>F82+G82+H82</f>
        <v>#VALUE!</v>
      </c>
      <c r="J82" s="1"/>
      <c r="N82" s="375"/>
    </row>
    <row r="83" spans="2:14">
      <c r="B83" s="17" t="e">
        <f>H8</f>
        <v>#VALUE!</v>
      </c>
      <c r="C83" s="1" t="s">
        <v>21</v>
      </c>
      <c r="D83" s="11">
        <f>D22</f>
        <v>0</v>
      </c>
      <c r="E83" s="14" t="s">
        <v>22</v>
      </c>
      <c r="F83" s="6" t="e">
        <f>B83*D83</f>
        <v>#VALUE!</v>
      </c>
      <c r="G83" s="6" t="e">
        <f>F83*$G$78</f>
        <v>#VALUE!</v>
      </c>
      <c r="H83" s="6" t="e">
        <f>(F83+G83)*$H$78</f>
        <v>#VALUE!</v>
      </c>
      <c r="I83" s="6" t="e">
        <f>F83+G83+H83</f>
        <v>#VALUE!</v>
      </c>
      <c r="J83" s="1"/>
      <c r="N83" s="375"/>
    </row>
    <row r="84" spans="2:14">
      <c r="B84" s="17" t="e">
        <f>I8</f>
        <v>#VALUE!</v>
      </c>
      <c r="C84" s="1" t="s">
        <v>21</v>
      </c>
      <c r="D84" s="11">
        <f>D23</f>
        <v>0</v>
      </c>
      <c r="E84" s="14" t="s">
        <v>22</v>
      </c>
      <c r="F84" s="6" t="e">
        <f>B84*D84</f>
        <v>#VALUE!</v>
      </c>
      <c r="G84" s="6" t="e">
        <f>F84*$G$78</f>
        <v>#VALUE!</v>
      </c>
      <c r="H84" s="6" t="e">
        <f>(F84+G84)*$H$78</f>
        <v>#VALUE!</v>
      </c>
      <c r="I84" s="6" t="e">
        <f>F84+G84+H84</f>
        <v>#VALUE!</v>
      </c>
      <c r="J84" s="1"/>
      <c r="N84" s="375"/>
    </row>
    <row r="85" spans="2:14">
      <c r="B85" s="17" t="e">
        <f>J8</f>
        <v>#VALUE!</v>
      </c>
      <c r="C85" s="1" t="s">
        <v>21</v>
      </c>
      <c r="D85" s="11">
        <f>D24</f>
        <v>0</v>
      </c>
      <c r="E85" s="14" t="s">
        <v>22</v>
      </c>
      <c r="F85" s="6" t="e">
        <f>B85*D85</f>
        <v>#VALUE!</v>
      </c>
      <c r="G85" s="6" t="e">
        <f>F85*$G$78</f>
        <v>#VALUE!</v>
      </c>
      <c r="H85" s="6" t="e">
        <f>(F85+G85)*$H$78</f>
        <v>#VALUE!</v>
      </c>
      <c r="I85" s="6" t="e">
        <f>F85+G85+H85</f>
        <v>#VALUE!</v>
      </c>
      <c r="J85" s="1"/>
      <c r="N85" s="375"/>
    </row>
    <row r="86" spans="2:14" ht="16.5" thickBot="1">
      <c r="B86" s="17" t="e">
        <f>K8</f>
        <v>#VALUE!</v>
      </c>
      <c r="C86" s="1" t="s">
        <v>21</v>
      </c>
      <c r="D86" s="11">
        <f>D25</f>
        <v>0</v>
      </c>
      <c r="E86" s="14" t="s">
        <v>22</v>
      </c>
      <c r="F86" s="6" t="e">
        <f>B86*D86</f>
        <v>#VALUE!</v>
      </c>
      <c r="G86" s="6" t="e">
        <f>F86*$G$78</f>
        <v>#VALUE!</v>
      </c>
      <c r="H86" s="6" t="e">
        <f>(F86+G86)*$H$78</f>
        <v>#VALUE!</v>
      </c>
      <c r="I86" s="6" t="e">
        <f>F86+G86+H86</f>
        <v>#VALUE!</v>
      </c>
      <c r="J86" s="1"/>
      <c r="N86" s="502"/>
    </row>
    <row r="87" spans="2:14" ht="17.25" thickTop="1" thickBot="1">
      <c r="C87" s="1"/>
      <c r="D87" s="9">
        <f>SUM(D82:D86)</f>
        <v>0</v>
      </c>
      <c r="E87" s="1"/>
      <c r="F87" s="15" t="e">
        <f>SUM(F82:F86)</f>
        <v>#VALUE!</v>
      </c>
      <c r="G87" s="55"/>
      <c r="H87" s="55"/>
      <c r="I87" s="15" t="e">
        <f>SUM(I82:I86)</f>
        <v>#VALUE!</v>
      </c>
      <c r="J87" s="1"/>
      <c r="N87" s="502"/>
    </row>
    <row r="88" spans="2:14" ht="16.5" thickTop="1">
      <c r="C88" s="1"/>
      <c r="D88" s="9"/>
      <c r="E88" s="1"/>
      <c r="F88" s="8"/>
      <c r="I88" s="8"/>
      <c r="J88" s="1"/>
    </row>
    <row r="89" spans="2:14">
      <c r="B89" s="498" t="str">
        <f>"Berechnung "&amp;F16</f>
        <v>Berechnung Bitte auswählen, wenn zutreffend oder eingeben.</v>
      </c>
      <c r="C89" s="498"/>
      <c r="D89" s="498"/>
      <c r="E89" s="498"/>
      <c r="F89" s="498"/>
      <c r="G89" s="498"/>
      <c r="H89" s="498"/>
      <c r="I89" s="498"/>
      <c r="J89" s="498"/>
      <c r="K89" s="498"/>
      <c r="L89" s="498"/>
    </row>
    <row r="90" spans="2:14" ht="8.1" customHeight="1">
      <c r="C90" s="1"/>
      <c r="E90" s="1"/>
      <c r="J90" s="1"/>
    </row>
    <row r="91" spans="2:14" ht="31.5">
      <c r="C91" s="1"/>
      <c r="E91" s="1"/>
      <c r="F91" s="2"/>
      <c r="G91" s="24" t="s">
        <v>96</v>
      </c>
      <c r="H91" s="24" t="s">
        <v>97</v>
      </c>
      <c r="I91" s="2"/>
      <c r="J91" s="1"/>
    </row>
    <row r="92" spans="2:14">
      <c r="E92" s="1"/>
      <c r="F92" s="4"/>
      <c r="G92" s="54" t="e">
        <f>G78</f>
        <v>#DIV/0!</v>
      </c>
      <c r="H92" s="54" t="e">
        <f>H78</f>
        <v>#DIV/0!</v>
      </c>
      <c r="I92" s="4"/>
      <c r="J92" s="1"/>
    </row>
    <row r="93" spans="2:14">
      <c r="B93" s="5" t="s">
        <v>20</v>
      </c>
      <c r="C93" s="1"/>
      <c r="D93" s="5" t="s">
        <v>5</v>
      </c>
      <c r="E93" s="1"/>
      <c r="F93" s="5"/>
      <c r="G93" s="5" t="s">
        <v>20</v>
      </c>
      <c r="H93" s="5" t="s">
        <v>20</v>
      </c>
      <c r="I93" s="5" t="s">
        <v>15</v>
      </c>
      <c r="J93" s="1"/>
    </row>
    <row r="94" spans="2:14" ht="31.5">
      <c r="B94" s="5" t="s">
        <v>8</v>
      </c>
      <c r="C94" s="1"/>
      <c r="D94" s="5"/>
      <c r="E94" s="1"/>
      <c r="F94" s="5"/>
      <c r="G94" s="13" t="s">
        <v>19</v>
      </c>
      <c r="H94" s="5" t="s">
        <v>18</v>
      </c>
      <c r="I94" s="5"/>
      <c r="J94" s="1"/>
    </row>
    <row r="95" spans="2:14">
      <c r="B95" s="5" t="s">
        <v>17</v>
      </c>
      <c r="C95" s="1"/>
      <c r="D95" s="5" t="s">
        <v>4</v>
      </c>
      <c r="E95" s="1"/>
      <c r="F95" s="5" t="s">
        <v>17</v>
      </c>
      <c r="G95" s="5" t="s">
        <v>17</v>
      </c>
      <c r="H95" s="5" t="s">
        <v>17</v>
      </c>
      <c r="I95" s="5" t="s">
        <v>17</v>
      </c>
      <c r="J95" s="1"/>
    </row>
    <row r="96" spans="2:14">
      <c r="B96" s="17" t="e">
        <f>B82</f>
        <v>#VALUE!</v>
      </c>
      <c r="C96" s="1" t="s">
        <v>21</v>
      </c>
      <c r="D96" s="11">
        <f>H21</f>
        <v>0</v>
      </c>
      <c r="E96" s="14" t="s">
        <v>22</v>
      </c>
      <c r="F96" s="6" t="e">
        <f>B96*D96</f>
        <v>#VALUE!</v>
      </c>
      <c r="G96" s="6" t="e">
        <f>F96*$G$92</f>
        <v>#VALUE!</v>
      </c>
      <c r="H96" s="6" t="e">
        <f>(F96+G96)*$H$92</f>
        <v>#VALUE!</v>
      </c>
      <c r="I96" s="6" t="e">
        <f>F96+G96+H96</f>
        <v>#VALUE!</v>
      </c>
      <c r="J96" s="1"/>
    </row>
    <row r="97" spans="2:12">
      <c r="B97" s="17" t="e">
        <f>B83</f>
        <v>#VALUE!</v>
      </c>
      <c r="C97" s="1" t="s">
        <v>21</v>
      </c>
      <c r="D97" s="11">
        <f>H22</f>
        <v>0</v>
      </c>
      <c r="E97" s="14" t="s">
        <v>22</v>
      </c>
      <c r="F97" s="6" t="e">
        <f>B97*D97</f>
        <v>#VALUE!</v>
      </c>
      <c r="G97" s="6" t="e">
        <f>F97*$G$92</f>
        <v>#VALUE!</v>
      </c>
      <c r="H97" s="6" t="e">
        <f>(F97+G97)*$H$92</f>
        <v>#VALUE!</v>
      </c>
      <c r="I97" s="6" t="e">
        <f>F97+G97+H97</f>
        <v>#VALUE!</v>
      </c>
      <c r="J97" s="1"/>
    </row>
    <row r="98" spans="2:12">
      <c r="B98" s="17" t="e">
        <f>B84</f>
        <v>#VALUE!</v>
      </c>
      <c r="C98" s="1" t="s">
        <v>21</v>
      </c>
      <c r="D98" s="11">
        <f>H23</f>
        <v>0</v>
      </c>
      <c r="E98" s="14" t="s">
        <v>22</v>
      </c>
      <c r="F98" s="6" t="e">
        <f>B98*D98</f>
        <v>#VALUE!</v>
      </c>
      <c r="G98" s="6" t="e">
        <f>F98*$G$92</f>
        <v>#VALUE!</v>
      </c>
      <c r="H98" s="6" t="e">
        <f>(F98+G98)*$H$92</f>
        <v>#VALUE!</v>
      </c>
      <c r="I98" s="6" t="e">
        <f>F98+G98+H98</f>
        <v>#VALUE!</v>
      </c>
      <c r="J98" s="1"/>
    </row>
    <row r="99" spans="2:12">
      <c r="B99" s="17" t="e">
        <f>B85</f>
        <v>#VALUE!</v>
      </c>
      <c r="C99" s="1" t="s">
        <v>21</v>
      </c>
      <c r="D99" s="11">
        <f>H24</f>
        <v>0</v>
      </c>
      <c r="E99" s="14" t="s">
        <v>22</v>
      </c>
      <c r="F99" s="6" t="e">
        <f>B99*D99</f>
        <v>#VALUE!</v>
      </c>
      <c r="G99" s="6" t="e">
        <f>F99*$G$92</f>
        <v>#VALUE!</v>
      </c>
      <c r="H99" s="6" t="e">
        <f>(F99+G99)*$H$92</f>
        <v>#VALUE!</v>
      </c>
      <c r="I99" s="6" t="e">
        <f>F99+G99+H99</f>
        <v>#VALUE!</v>
      </c>
      <c r="J99" s="1"/>
    </row>
    <row r="100" spans="2:12" ht="16.5" thickBot="1">
      <c r="B100" s="17" t="e">
        <f>B86</f>
        <v>#VALUE!</v>
      </c>
      <c r="C100" s="1" t="s">
        <v>21</v>
      </c>
      <c r="D100" s="11">
        <f>H25</f>
        <v>0</v>
      </c>
      <c r="E100" s="14" t="s">
        <v>22</v>
      </c>
      <c r="F100" s="6" t="e">
        <f>B100*D100</f>
        <v>#VALUE!</v>
      </c>
      <c r="G100" s="6" t="e">
        <f>F100*$G$92</f>
        <v>#VALUE!</v>
      </c>
      <c r="H100" s="6" t="e">
        <f>(F100+G100)*$H$92</f>
        <v>#VALUE!</v>
      </c>
      <c r="I100" s="6" t="e">
        <f>F100+G100+H100</f>
        <v>#VALUE!</v>
      </c>
      <c r="J100" s="1"/>
    </row>
    <row r="101" spans="2:12" ht="17.25" thickTop="1" thickBot="1">
      <c r="C101" s="1"/>
      <c r="D101" s="9">
        <f>SUM(D96:D100)</f>
        <v>0</v>
      </c>
      <c r="E101" s="1"/>
      <c r="F101" s="15" t="e">
        <f>SUM(F96:F100)</f>
        <v>#VALUE!</v>
      </c>
      <c r="G101" s="55"/>
      <c r="H101" s="55"/>
      <c r="I101" s="15" t="e">
        <f>SUM(I96:I100)</f>
        <v>#VALUE!</v>
      </c>
      <c r="J101" s="1"/>
    </row>
    <row r="102" spans="2:12" ht="16.5" thickTop="1">
      <c r="C102" s="1"/>
      <c r="D102" s="9"/>
      <c r="E102" s="1"/>
      <c r="F102" s="8"/>
      <c r="I102" s="8"/>
      <c r="J102" s="1"/>
    </row>
    <row r="103" spans="2:12">
      <c r="B103" s="498" t="str">
        <f>"Berechnung "&amp;J16</f>
        <v>Berechnung Bitte auswählen, wenn zutreffend oder eingeben.</v>
      </c>
      <c r="C103" s="498"/>
      <c r="D103" s="498"/>
      <c r="E103" s="498"/>
      <c r="F103" s="498"/>
      <c r="G103" s="498"/>
      <c r="H103" s="498"/>
      <c r="I103" s="498"/>
      <c r="J103" s="498"/>
      <c r="K103" s="498"/>
      <c r="L103" s="498"/>
    </row>
    <row r="104" spans="2:12" ht="6.95" customHeight="1"/>
    <row r="105" spans="2:12" ht="31.5">
      <c r="C105" s="1"/>
      <c r="E105" s="1"/>
      <c r="F105" s="2"/>
      <c r="G105" s="24" t="s">
        <v>96</v>
      </c>
      <c r="H105" s="24" t="s">
        <v>97</v>
      </c>
      <c r="I105" s="2"/>
      <c r="J105" s="1"/>
    </row>
    <row r="106" spans="2:12">
      <c r="E106" s="1"/>
      <c r="F106" s="4"/>
      <c r="G106" s="54" t="e">
        <f>G92</f>
        <v>#DIV/0!</v>
      </c>
      <c r="H106" s="54" t="e">
        <f>H92</f>
        <v>#DIV/0!</v>
      </c>
      <c r="I106" s="4"/>
      <c r="J106" s="1"/>
    </row>
    <row r="107" spans="2:12">
      <c r="B107" s="5" t="s">
        <v>20</v>
      </c>
      <c r="C107" s="1"/>
      <c r="D107" s="5" t="s">
        <v>5</v>
      </c>
      <c r="E107" s="1"/>
      <c r="F107" s="5"/>
      <c r="G107" s="5" t="s">
        <v>20</v>
      </c>
      <c r="H107" s="5" t="s">
        <v>20</v>
      </c>
      <c r="I107" s="5" t="s">
        <v>15</v>
      </c>
      <c r="J107" s="1"/>
    </row>
    <row r="108" spans="2:12" ht="31.5">
      <c r="B108" s="5" t="s">
        <v>8</v>
      </c>
      <c r="C108" s="1"/>
      <c r="D108" s="5"/>
      <c r="E108" s="1"/>
      <c r="F108" s="5"/>
      <c r="G108" s="13" t="s">
        <v>19</v>
      </c>
      <c r="H108" s="5" t="s">
        <v>18</v>
      </c>
      <c r="I108" s="5"/>
      <c r="J108" s="1"/>
    </row>
    <row r="109" spans="2:12">
      <c r="B109" s="5" t="s">
        <v>17</v>
      </c>
      <c r="C109" s="1"/>
      <c r="D109" s="5" t="s">
        <v>4</v>
      </c>
      <c r="E109" s="1"/>
      <c r="F109" s="5" t="s">
        <v>17</v>
      </c>
      <c r="G109" s="5" t="s">
        <v>17</v>
      </c>
      <c r="H109" s="5" t="s">
        <v>17</v>
      </c>
      <c r="I109" s="5" t="s">
        <v>17</v>
      </c>
      <c r="J109" s="1"/>
    </row>
    <row r="110" spans="2:12">
      <c r="B110" s="17" t="e">
        <f>B96</f>
        <v>#VALUE!</v>
      </c>
      <c r="C110" s="1" t="s">
        <v>21</v>
      </c>
      <c r="D110" s="11">
        <f>L21</f>
        <v>0</v>
      </c>
      <c r="E110" s="14" t="s">
        <v>22</v>
      </c>
      <c r="F110" s="6" t="e">
        <f>B110*D110</f>
        <v>#VALUE!</v>
      </c>
      <c r="G110" s="6" t="e">
        <f>F110*$G$106</f>
        <v>#VALUE!</v>
      </c>
      <c r="H110" s="6" t="e">
        <f>(F110+G110)*$H$106</f>
        <v>#VALUE!</v>
      </c>
      <c r="I110" s="6" t="e">
        <f>F110+G110+H110</f>
        <v>#VALUE!</v>
      </c>
      <c r="J110" s="1"/>
    </row>
    <row r="111" spans="2:12">
      <c r="B111" s="17" t="e">
        <f>B97</f>
        <v>#VALUE!</v>
      </c>
      <c r="C111" s="1" t="s">
        <v>21</v>
      </c>
      <c r="D111" s="11">
        <f>L22</f>
        <v>0</v>
      </c>
      <c r="E111" s="14" t="s">
        <v>22</v>
      </c>
      <c r="F111" s="6" t="e">
        <f>B111*D111</f>
        <v>#VALUE!</v>
      </c>
      <c r="G111" s="6" t="e">
        <f>F111*$G$106</f>
        <v>#VALUE!</v>
      </c>
      <c r="H111" s="6" t="e">
        <f>(F111+G111)*$H$106</f>
        <v>#VALUE!</v>
      </c>
      <c r="I111" s="6" t="e">
        <f>F111+G111+H111</f>
        <v>#VALUE!</v>
      </c>
      <c r="J111" s="1"/>
    </row>
    <row r="112" spans="2:12">
      <c r="B112" s="17" t="e">
        <f>B98</f>
        <v>#VALUE!</v>
      </c>
      <c r="C112" s="1" t="s">
        <v>21</v>
      </c>
      <c r="D112" s="11">
        <f>L23</f>
        <v>0</v>
      </c>
      <c r="E112" s="14" t="s">
        <v>22</v>
      </c>
      <c r="F112" s="6" t="e">
        <f>B112*D112</f>
        <v>#VALUE!</v>
      </c>
      <c r="G112" s="6" t="e">
        <f>F112*$G$106</f>
        <v>#VALUE!</v>
      </c>
      <c r="H112" s="6" t="e">
        <f>(F112+G112)*$H$106</f>
        <v>#VALUE!</v>
      </c>
      <c r="I112" s="6" t="e">
        <f>F112+G112+H112</f>
        <v>#VALUE!</v>
      </c>
      <c r="J112" s="1"/>
    </row>
    <row r="113" spans="2:12">
      <c r="B113" s="17" t="e">
        <f>B99</f>
        <v>#VALUE!</v>
      </c>
      <c r="C113" s="1" t="s">
        <v>21</v>
      </c>
      <c r="D113" s="11">
        <f>L24</f>
        <v>0</v>
      </c>
      <c r="E113" s="14" t="s">
        <v>22</v>
      </c>
      <c r="F113" s="6" t="e">
        <f>B113*D113</f>
        <v>#VALUE!</v>
      </c>
      <c r="G113" s="6" t="e">
        <f>F113*$G$106</f>
        <v>#VALUE!</v>
      </c>
      <c r="H113" s="6" t="e">
        <f>(F113+G113)*$H$106</f>
        <v>#VALUE!</v>
      </c>
      <c r="I113" s="6" t="e">
        <f>F113+G113+H113</f>
        <v>#VALUE!</v>
      </c>
      <c r="J113" s="1"/>
    </row>
    <row r="114" spans="2:12" ht="16.5" thickBot="1">
      <c r="B114" s="17" t="e">
        <f>B100</f>
        <v>#VALUE!</v>
      </c>
      <c r="C114" s="1" t="s">
        <v>21</v>
      </c>
      <c r="D114" s="11">
        <f>L25</f>
        <v>0</v>
      </c>
      <c r="E114" s="14" t="s">
        <v>22</v>
      </c>
      <c r="F114" s="6" t="e">
        <f>B114*D114</f>
        <v>#VALUE!</v>
      </c>
      <c r="G114" s="6" t="e">
        <f>F114*$G$106</f>
        <v>#VALUE!</v>
      </c>
      <c r="H114" s="6" t="e">
        <f>(F114+G114)*$H$106</f>
        <v>#VALUE!</v>
      </c>
      <c r="I114" s="6" t="e">
        <f>F114+G114+H114</f>
        <v>#VALUE!</v>
      </c>
      <c r="J114" s="1"/>
    </row>
    <row r="115" spans="2:12" ht="17.25" thickTop="1" thickBot="1">
      <c r="C115" s="1"/>
      <c r="D115" s="9">
        <f>SUM(D110:D114)</f>
        <v>0</v>
      </c>
      <c r="E115" s="1"/>
      <c r="F115" s="15" t="e">
        <f>SUM(F110:F114)</f>
        <v>#VALUE!</v>
      </c>
      <c r="G115" s="55"/>
      <c r="H115" s="55"/>
      <c r="I115" s="15" t="e">
        <f>SUM(I110:I114)</f>
        <v>#VALUE!</v>
      </c>
      <c r="J115" s="1"/>
    </row>
    <row r="116" spans="2:12" ht="16.5" thickTop="1">
      <c r="C116" s="1"/>
      <c r="D116" s="9"/>
      <c r="E116" s="1"/>
      <c r="F116" s="385"/>
      <c r="G116" s="386"/>
      <c r="H116" s="386"/>
      <c r="I116" s="385"/>
      <c r="J116" s="1"/>
    </row>
    <row r="117" spans="2:12">
      <c r="B117" s="498" t="str">
        <f>"Berechnung "&amp;B30</f>
        <v>Berechnung Bitte auswählen, wenn zutreffend oder eingeben.</v>
      </c>
      <c r="C117" s="498"/>
      <c r="D117" s="498"/>
      <c r="E117" s="498"/>
      <c r="F117" s="498"/>
      <c r="G117" s="498"/>
      <c r="H117" s="498"/>
      <c r="I117" s="498"/>
      <c r="J117" s="498"/>
      <c r="K117" s="498"/>
      <c r="L117" s="498"/>
    </row>
    <row r="118" spans="2:12" ht="6.95" customHeight="1"/>
    <row r="119" spans="2:12" ht="31.5">
      <c r="C119" s="1"/>
      <c r="E119" s="1"/>
      <c r="F119" s="2"/>
      <c r="G119" s="24" t="s">
        <v>96</v>
      </c>
      <c r="H119" s="24" t="s">
        <v>97</v>
      </c>
      <c r="I119" s="2"/>
      <c r="J119" s="1"/>
    </row>
    <row r="120" spans="2:12">
      <c r="E120" s="1"/>
      <c r="F120" s="4"/>
      <c r="G120" s="54" t="e">
        <f>G106</f>
        <v>#DIV/0!</v>
      </c>
      <c r="H120" s="54" t="e">
        <f>H106</f>
        <v>#DIV/0!</v>
      </c>
      <c r="I120" s="4"/>
      <c r="J120" s="1"/>
    </row>
    <row r="121" spans="2:12">
      <c r="B121" s="5" t="s">
        <v>20</v>
      </c>
      <c r="C121" s="1"/>
      <c r="D121" s="5" t="s">
        <v>5</v>
      </c>
      <c r="E121" s="1"/>
      <c r="F121" s="5"/>
      <c r="G121" s="5" t="s">
        <v>20</v>
      </c>
      <c r="H121" s="5" t="s">
        <v>20</v>
      </c>
      <c r="I121" s="5" t="s">
        <v>15</v>
      </c>
      <c r="J121" s="1"/>
    </row>
    <row r="122" spans="2:12" ht="31.5">
      <c r="B122" s="5" t="s">
        <v>8</v>
      </c>
      <c r="C122" s="1"/>
      <c r="D122" s="5"/>
      <c r="E122" s="1"/>
      <c r="F122" s="5"/>
      <c r="G122" s="13" t="s">
        <v>19</v>
      </c>
      <c r="H122" s="5" t="s">
        <v>18</v>
      </c>
      <c r="I122" s="5"/>
      <c r="J122" s="1"/>
    </row>
    <row r="123" spans="2:12">
      <c r="B123" s="5" t="s">
        <v>17</v>
      </c>
      <c r="C123" s="1"/>
      <c r="D123" s="5" t="s">
        <v>4</v>
      </c>
      <c r="E123" s="1"/>
      <c r="F123" s="5" t="s">
        <v>17</v>
      </c>
      <c r="G123" s="5" t="s">
        <v>17</v>
      </c>
      <c r="H123" s="5" t="s">
        <v>17</v>
      </c>
      <c r="I123" s="5" t="s">
        <v>17</v>
      </c>
      <c r="J123" s="1"/>
    </row>
    <row r="124" spans="2:12">
      <c r="B124" s="17" t="e">
        <f>B110</f>
        <v>#VALUE!</v>
      </c>
      <c r="C124" s="1" t="s">
        <v>21</v>
      </c>
      <c r="D124" s="11">
        <f>D35</f>
        <v>0</v>
      </c>
      <c r="E124" s="14" t="s">
        <v>22</v>
      </c>
      <c r="F124" s="6" t="e">
        <f>B124*D124</f>
        <v>#VALUE!</v>
      </c>
      <c r="G124" s="6" t="e">
        <f>F124*$G$106</f>
        <v>#VALUE!</v>
      </c>
      <c r="H124" s="6" t="e">
        <f>(F124+G124)*$H$106</f>
        <v>#VALUE!</v>
      </c>
      <c r="I124" s="6" t="e">
        <f>F124+G124+H124</f>
        <v>#VALUE!</v>
      </c>
      <c r="J124" s="1"/>
    </row>
    <row r="125" spans="2:12">
      <c r="B125" s="17" t="e">
        <f>B111</f>
        <v>#VALUE!</v>
      </c>
      <c r="C125" s="1" t="s">
        <v>21</v>
      </c>
      <c r="D125" s="11">
        <f t="shared" ref="D125:D128" si="1">D36</f>
        <v>0</v>
      </c>
      <c r="E125" s="14" t="s">
        <v>22</v>
      </c>
      <c r="F125" s="6" t="e">
        <f>B125*D125</f>
        <v>#VALUE!</v>
      </c>
      <c r="G125" s="6" t="e">
        <f>F125*$G$106</f>
        <v>#VALUE!</v>
      </c>
      <c r="H125" s="6" t="e">
        <f>(F125+G125)*$H$106</f>
        <v>#VALUE!</v>
      </c>
      <c r="I125" s="6" t="e">
        <f>F125+G125+H125</f>
        <v>#VALUE!</v>
      </c>
      <c r="J125" s="1"/>
    </row>
    <row r="126" spans="2:12">
      <c r="B126" s="17" t="e">
        <f>B112</f>
        <v>#VALUE!</v>
      </c>
      <c r="C126" s="1" t="s">
        <v>21</v>
      </c>
      <c r="D126" s="11">
        <f t="shared" si="1"/>
        <v>0</v>
      </c>
      <c r="E126" s="14" t="s">
        <v>22</v>
      </c>
      <c r="F126" s="6" t="e">
        <f>B126*D126</f>
        <v>#VALUE!</v>
      </c>
      <c r="G126" s="6" t="e">
        <f>F126*$G$106</f>
        <v>#VALUE!</v>
      </c>
      <c r="H126" s="6" t="e">
        <f>(F126+G126)*$H$106</f>
        <v>#VALUE!</v>
      </c>
      <c r="I126" s="6" t="e">
        <f>F126+G126+H126</f>
        <v>#VALUE!</v>
      </c>
      <c r="J126" s="1"/>
    </row>
    <row r="127" spans="2:12">
      <c r="B127" s="17" t="e">
        <f>B113</f>
        <v>#VALUE!</v>
      </c>
      <c r="C127" s="1" t="s">
        <v>21</v>
      </c>
      <c r="D127" s="11">
        <f t="shared" si="1"/>
        <v>0</v>
      </c>
      <c r="E127" s="14" t="s">
        <v>22</v>
      </c>
      <c r="F127" s="6" t="e">
        <f>B127*D127</f>
        <v>#VALUE!</v>
      </c>
      <c r="G127" s="6" t="e">
        <f>F127*$G$106</f>
        <v>#VALUE!</v>
      </c>
      <c r="H127" s="6" t="e">
        <f>(F127+G127)*$H$106</f>
        <v>#VALUE!</v>
      </c>
      <c r="I127" s="6" t="e">
        <f>F127+G127+H127</f>
        <v>#VALUE!</v>
      </c>
      <c r="J127" s="1"/>
    </row>
    <row r="128" spans="2:12" ht="16.5" thickBot="1">
      <c r="B128" s="17" t="e">
        <f>B114</f>
        <v>#VALUE!</v>
      </c>
      <c r="C128" s="1" t="s">
        <v>21</v>
      </c>
      <c r="D128" s="11">
        <f t="shared" si="1"/>
        <v>0</v>
      </c>
      <c r="E128" s="14" t="s">
        <v>22</v>
      </c>
      <c r="F128" s="6" t="e">
        <f>B128*D128</f>
        <v>#VALUE!</v>
      </c>
      <c r="G128" s="6" t="e">
        <f>F128*$G$106</f>
        <v>#VALUE!</v>
      </c>
      <c r="H128" s="6" t="e">
        <f>(F128+G128)*$H$106</f>
        <v>#VALUE!</v>
      </c>
      <c r="I128" s="6" t="e">
        <f>F128+G128+H128</f>
        <v>#VALUE!</v>
      </c>
      <c r="J128" s="1"/>
    </row>
    <row r="129" spans="2:12" ht="17.25" thickTop="1" thickBot="1">
      <c r="C129" s="1"/>
      <c r="D129" s="9">
        <f>SUM(D124:D128)</f>
        <v>0</v>
      </c>
      <c r="E129" s="1"/>
      <c r="F129" s="15" t="e">
        <f>SUM(F124:F128)</f>
        <v>#VALUE!</v>
      </c>
      <c r="G129" s="55"/>
      <c r="H129" s="55"/>
      <c r="I129" s="15" t="e">
        <f>SUM(I124:I128)</f>
        <v>#VALUE!</v>
      </c>
      <c r="J129" s="1"/>
    </row>
    <row r="130" spans="2:12" ht="16.5" thickTop="1">
      <c r="C130" s="1"/>
      <c r="D130" s="9"/>
      <c r="E130" s="1"/>
      <c r="F130" s="385"/>
      <c r="G130" s="386"/>
      <c r="H130" s="386"/>
      <c r="I130" s="385"/>
      <c r="J130" s="1"/>
    </row>
    <row r="131" spans="2:12">
      <c r="B131" s="498" t="str">
        <f>"Berechnung "&amp;F30</f>
        <v>Berechnung Bitte auswählen, wenn zutreffend oder eingeben.</v>
      </c>
      <c r="C131" s="498"/>
      <c r="D131" s="498"/>
      <c r="E131" s="498"/>
      <c r="F131" s="498"/>
      <c r="G131" s="498"/>
      <c r="H131" s="498"/>
      <c r="I131" s="498"/>
      <c r="J131" s="498"/>
      <c r="K131" s="498"/>
      <c r="L131" s="498"/>
    </row>
    <row r="132" spans="2:12" ht="6.95" customHeight="1"/>
    <row r="133" spans="2:12" ht="31.5">
      <c r="C133" s="1"/>
      <c r="E133" s="1"/>
      <c r="F133" s="2"/>
      <c r="G133" s="24" t="s">
        <v>96</v>
      </c>
      <c r="H133" s="24" t="s">
        <v>97</v>
      </c>
      <c r="I133" s="2"/>
      <c r="J133" s="1"/>
    </row>
    <row r="134" spans="2:12">
      <c r="E134" s="1"/>
      <c r="F134" s="4"/>
      <c r="G134" s="54" t="e">
        <f>G120</f>
        <v>#DIV/0!</v>
      </c>
      <c r="H134" s="54" t="e">
        <f>H120</f>
        <v>#DIV/0!</v>
      </c>
      <c r="I134" s="4"/>
      <c r="J134" s="1"/>
    </row>
    <row r="135" spans="2:12">
      <c r="B135" s="5" t="s">
        <v>20</v>
      </c>
      <c r="C135" s="1"/>
      <c r="D135" s="5" t="s">
        <v>5</v>
      </c>
      <c r="E135" s="1"/>
      <c r="F135" s="5"/>
      <c r="G135" s="5" t="s">
        <v>20</v>
      </c>
      <c r="H135" s="5" t="s">
        <v>20</v>
      </c>
      <c r="I135" s="5" t="s">
        <v>15</v>
      </c>
      <c r="J135" s="1"/>
    </row>
    <row r="136" spans="2:12" ht="31.5">
      <c r="B136" s="5" t="s">
        <v>8</v>
      </c>
      <c r="C136" s="1"/>
      <c r="D136" s="5"/>
      <c r="E136" s="1"/>
      <c r="F136" s="5"/>
      <c r="G136" s="13" t="s">
        <v>19</v>
      </c>
      <c r="H136" s="5" t="s">
        <v>18</v>
      </c>
      <c r="I136" s="5"/>
      <c r="J136" s="1"/>
    </row>
    <row r="137" spans="2:12">
      <c r="B137" s="5" t="s">
        <v>17</v>
      </c>
      <c r="C137" s="1"/>
      <c r="D137" s="5" t="s">
        <v>4</v>
      </c>
      <c r="E137" s="1"/>
      <c r="F137" s="5" t="s">
        <v>17</v>
      </c>
      <c r="G137" s="5" t="s">
        <v>17</v>
      </c>
      <c r="H137" s="5" t="s">
        <v>17</v>
      </c>
      <c r="I137" s="5" t="s">
        <v>17</v>
      </c>
      <c r="J137" s="1"/>
    </row>
    <row r="138" spans="2:12">
      <c r="B138" s="17" t="e">
        <f>B124</f>
        <v>#VALUE!</v>
      </c>
      <c r="C138" s="1" t="s">
        <v>21</v>
      </c>
      <c r="D138" s="11">
        <f>H35</f>
        <v>0</v>
      </c>
      <c r="E138" s="14" t="s">
        <v>22</v>
      </c>
      <c r="F138" s="6" t="e">
        <f>B138*D138</f>
        <v>#VALUE!</v>
      </c>
      <c r="G138" s="6" t="e">
        <f>F138*$G$106</f>
        <v>#VALUE!</v>
      </c>
      <c r="H138" s="6" t="e">
        <f>(F138+G138)*$H$106</f>
        <v>#VALUE!</v>
      </c>
      <c r="I138" s="6" t="e">
        <f>F138+G138+H138</f>
        <v>#VALUE!</v>
      </c>
      <c r="J138" s="1"/>
    </row>
    <row r="139" spans="2:12">
      <c r="B139" s="17" t="e">
        <f>B125</f>
        <v>#VALUE!</v>
      </c>
      <c r="C139" s="1" t="s">
        <v>21</v>
      </c>
      <c r="D139" s="11">
        <f t="shared" ref="D139:D142" si="2">H36</f>
        <v>0</v>
      </c>
      <c r="E139" s="14" t="s">
        <v>22</v>
      </c>
      <c r="F139" s="6" t="e">
        <f>B139*D139</f>
        <v>#VALUE!</v>
      </c>
      <c r="G139" s="6" t="e">
        <f>F139*$G$106</f>
        <v>#VALUE!</v>
      </c>
      <c r="H139" s="6" t="e">
        <f>(F139+G139)*$H$106</f>
        <v>#VALUE!</v>
      </c>
      <c r="I139" s="6" t="e">
        <f>F139+G139+H139</f>
        <v>#VALUE!</v>
      </c>
      <c r="J139" s="1"/>
    </row>
    <row r="140" spans="2:12">
      <c r="B140" s="17" t="e">
        <f>B126</f>
        <v>#VALUE!</v>
      </c>
      <c r="C140" s="1" t="s">
        <v>21</v>
      </c>
      <c r="D140" s="11">
        <f t="shared" si="2"/>
        <v>0</v>
      </c>
      <c r="E140" s="14" t="s">
        <v>22</v>
      </c>
      <c r="F140" s="6" t="e">
        <f>B140*D140</f>
        <v>#VALUE!</v>
      </c>
      <c r="G140" s="6" t="e">
        <f>F140*$G$106</f>
        <v>#VALUE!</v>
      </c>
      <c r="H140" s="6" t="e">
        <f>(F140+G140)*$H$106</f>
        <v>#VALUE!</v>
      </c>
      <c r="I140" s="6" t="e">
        <f>F140+G140+H140</f>
        <v>#VALUE!</v>
      </c>
      <c r="J140" s="1"/>
    </row>
    <row r="141" spans="2:12">
      <c r="B141" s="17" t="e">
        <f>B127</f>
        <v>#VALUE!</v>
      </c>
      <c r="C141" s="1" t="s">
        <v>21</v>
      </c>
      <c r="D141" s="11">
        <f t="shared" si="2"/>
        <v>0</v>
      </c>
      <c r="E141" s="14" t="s">
        <v>22</v>
      </c>
      <c r="F141" s="6" t="e">
        <f>B141*D141</f>
        <v>#VALUE!</v>
      </c>
      <c r="G141" s="6" t="e">
        <f>F141*$G$106</f>
        <v>#VALUE!</v>
      </c>
      <c r="H141" s="6" t="e">
        <f>(F141+G141)*$H$106</f>
        <v>#VALUE!</v>
      </c>
      <c r="I141" s="6" t="e">
        <f>F141+G141+H141</f>
        <v>#VALUE!</v>
      </c>
      <c r="J141" s="1"/>
    </row>
    <row r="142" spans="2:12" ht="16.5" thickBot="1">
      <c r="B142" s="17" t="e">
        <f>B128</f>
        <v>#VALUE!</v>
      </c>
      <c r="C142" s="1" t="s">
        <v>21</v>
      </c>
      <c r="D142" s="11">
        <f t="shared" si="2"/>
        <v>0</v>
      </c>
      <c r="E142" s="14" t="s">
        <v>22</v>
      </c>
      <c r="F142" s="6" t="e">
        <f>B142*D142</f>
        <v>#VALUE!</v>
      </c>
      <c r="G142" s="6" t="e">
        <f>F142*$G$106</f>
        <v>#VALUE!</v>
      </c>
      <c r="H142" s="6" t="e">
        <f>(F142+G142)*$H$106</f>
        <v>#VALUE!</v>
      </c>
      <c r="I142" s="6" t="e">
        <f>F142+G142+H142</f>
        <v>#VALUE!</v>
      </c>
      <c r="J142" s="1"/>
    </row>
    <row r="143" spans="2:12" ht="17.25" thickTop="1" thickBot="1">
      <c r="C143" s="1"/>
      <c r="D143" s="9">
        <f>SUM(D138:D142)</f>
        <v>0</v>
      </c>
      <c r="E143" s="1"/>
      <c r="F143" s="15" t="e">
        <f>SUM(F138:F142)</f>
        <v>#VALUE!</v>
      </c>
      <c r="G143" s="55"/>
      <c r="H143" s="55"/>
      <c r="I143" s="15" t="e">
        <f>SUM(I138:I142)</f>
        <v>#VALUE!</v>
      </c>
      <c r="J143" s="1"/>
    </row>
    <row r="144" spans="2:12" ht="16.5" thickTop="1">
      <c r="C144" s="1"/>
      <c r="D144" s="9"/>
      <c r="E144" s="1"/>
      <c r="F144" s="385"/>
      <c r="G144" s="386"/>
      <c r="H144" s="386"/>
      <c r="I144" s="385"/>
      <c r="J144" s="1"/>
    </row>
    <row r="145" spans="2:12">
      <c r="B145" s="498" t="str">
        <f>"Berechnung "&amp;J30</f>
        <v>Berechnung Bitte auswählen, wenn zutreffend oder eingeben.</v>
      </c>
      <c r="C145" s="498"/>
      <c r="D145" s="498"/>
      <c r="E145" s="498"/>
      <c r="F145" s="498"/>
      <c r="G145" s="498"/>
      <c r="H145" s="498"/>
      <c r="I145" s="498"/>
      <c r="J145" s="498"/>
      <c r="K145" s="498"/>
      <c r="L145" s="498"/>
    </row>
    <row r="146" spans="2:12" ht="6.95" customHeight="1"/>
    <row r="147" spans="2:12" ht="31.5">
      <c r="C147" s="1"/>
      <c r="E147" s="1"/>
      <c r="F147" s="2"/>
      <c r="G147" s="24" t="s">
        <v>96</v>
      </c>
      <c r="H147" s="24" t="s">
        <v>97</v>
      </c>
      <c r="I147" s="2"/>
      <c r="J147" s="1"/>
    </row>
    <row r="148" spans="2:12">
      <c r="E148" s="1"/>
      <c r="F148" s="4"/>
      <c r="G148" s="54" t="e">
        <f>G134</f>
        <v>#DIV/0!</v>
      </c>
      <c r="H148" s="54" t="e">
        <f>H134</f>
        <v>#DIV/0!</v>
      </c>
      <c r="I148" s="4"/>
      <c r="J148" s="1"/>
    </row>
    <row r="149" spans="2:12">
      <c r="B149" s="5" t="s">
        <v>20</v>
      </c>
      <c r="C149" s="1"/>
      <c r="D149" s="5" t="s">
        <v>5</v>
      </c>
      <c r="E149" s="1"/>
      <c r="F149" s="5"/>
      <c r="G149" s="5" t="s">
        <v>20</v>
      </c>
      <c r="H149" s="5" t="s">
        <v>20</v>
      </c>
      <c r="I149" s="5" t="s">
        <v>15</v>
      </c>
      <c r="J149" s="1"/>
    </row>
    <row r="150" spans="2:12" ht="31.5">
      <c r="B150" s="5" t="s">
        <v>8</v>
      </c>
      <c r="C150" s="1"/>
      <c r="D150" s="5"/>
      <c r="E150" s="1"/>
      <c r="F150" s="5"/>
      <c r="G150" s="13" t="s">
        <v>19</v>
      </c>
      <c r="H150" s="5" t="s">
        <v>18</v>
      </c>
      <c r="I150" s="5"/>
      <c r="J150" s="1"/>
    </row>
    <row r="151" spans="2:12">
      <c r="B151" s="5" t="s">
        <v>17</v>
      </c>
      <c r="C151" s="1"/>
      <c r="D151" s="5" t="s">
        <v>4</v>
      </c>
      <c r="E151" s="1"/>
      <c r="F151" s="5" t="s">
        <v>17</v>
      </c>
      <c r="G151" s="5" t="s">
        <v>17</v>
      </c>
      <c r="H151" s="5" t="s">
        <v>17</v>
      </c>
      <c r="I151" s="5" t="s">
        <v>17</v>
      </c>
      <c r="J151" s="1"/>
    </row>
    <row r="152" spans="2:12">
      <c r="B152" s="17" t="e">
        <f>B138</f>
        <v>#VALUE!</v>
      </c>
      <c r="C152" s="1" t="s">
        <v>21</v>
      </c>
      <c r="D152" s="11">
        <f>L35</f>
        <v>0</v>
      </c>
      <c r="E152" s="14" t="s">
        <v>22</v>
      </c>
      <c r="F152" s="6" t="e">
        <f>B152*D152</f>
        <v>#VALUE!</v>
      </c>
      <c r="G152" s="6" t="e">
        <f>F152*$G$106</f>
        <v>#VALUE!</v>
      </c>
      <c r="H152" s="6" t="e">
        <f>(F152+G152)*$H$106</f>
        <v>#VALUE!</v>
      </c>
      <c r="I152" s="6" t="e">
        <f>F152+G152+H152</f>
        <v>#VALUE!</v>
      </c>
      <c r="J152" s="1"/>
    </row>
    <row r="153" spans="2:12">
      <c r="B153" s="17" t="e">
        <f>B139</f>
        <v>#VALUE!</v>
      </c>
      <c r="C153" s="1" t="s">
        <v>21</v>
      </c>
      <c r="D153" s="11">
        <f t="shared" ref="D153:D156" si="3">L36</f>
        <v>0</v>
      </c>
      <c r="E153" s="14" t="s">
        <v>22</v>
      </c>
      <c r="F153" s="6" t="e">
        <f>B153*D153</f>
        <v>#VALUE!</v>
      </c>
      <c r="G153" s="6" t="e">
        <f>F153*$G$106</f>
        <v>#VALUE!</v>
      </c>
      <c r="H153" s="6" t="e">
        <f>(F153+G153)*$H$106</f>
        <v>#VALUE!</v>
      </c>
      <c r="I153" s="6" t="e">
        <f>F153+G153+H153</f>
        <v>#VALUE!</v>
      </c>
      <c r="J153" s="1"/>
    </row>
    <row r="154" spans="2:12">
      <c r="B154" s="17" t="e">
        <f>B140</f>
        <v>#VALUE!</v>
      </c>
      <c r="C154" s="1" t="s">
        <v>21</v>
      </c>
      <c r="D154" s="11">
        <f t="shared" si="3"/>
        <v>0</v>
      </c>
      <c r="E154" s="14" t="s">
        <v>22</v>
      </c>
      <c r="F154" s="6" t="e">
        <f>B154*D154</f>
        <v>#VALUE!</v>
      </c>
      <c r="G154" s="6" t="e">
        <f>F154*$G$106</f>
        <v>#VALUE!</v>
      </c>
      <c r="H154" s="6" t="e">
        <f>(F154+G154)*$H$106</f>
        <v>#VALUE!</v>
      </c>
      <c r="I154" s="6" t="e">
        <f>F154+G154+H154</f>
        <v>#VALUE!</v>
      </c>
      <c r="J154" s="1"/>
    </row>
    <row r="155" spans="2:12">
      <c r="B155" s="17" t="e">
        <f>B141</f>
        <v>#VALUE!</v>
      </c>
      <c r="C155" s="1" t="s">
        <v>21</v>
      </c>
      <c r="D155" s="11">
        <f t="shared" si="3"/>
        <v>0</v>
      </c>
      <c r="E155" s="14" t="s">
        <v>22</v>
      </c>
      <c r="F155" s="6" t="e">
        <f>B155*D155</f>
        <v>#VALUE!</v>
      </c>
      <c r="G155" s="6" t="e">
        <f>F155*$G$106</f>
        <v>#VALUE!</v>
      </c>
      <c r="H155" s="6" t="e">
        <f>(F155+G155)*$H$106</f>
        <v>#VALUE!</v>
      </c>
      <c r="I155" s="6" t="e">
        <f>F155+G155+H155</f>
        <v>#VALUE!</v>
      </c>
      <c r="J155" s="1"/>
    </row>
    <row r="156" spans="2:12" ht="16.5" thickBot="1">
      <c r="B156" s="17" t="e">
        <f>B142</f>
        <v>#VALUE!</v>
      </c>
      <c r="C156" s="1" t="s">
        <v>21</v>
      </c>
      <c r="D156" s="11">
        <f t="shared" si="3"/>
        <v>0</v>
      </c>
      <c r="E156" s="14" t="s">
        <v>22</v>
      </c>
      <c r="F156" s="6" t="e">
        <f>B156*D156</f>
        <v>#VALUE!</v>
      </c>
      <c r="G156" s="6" t="e">
        <f>F156*$G$106</f>
        <v>#VALUE!</v>
      </c>
      <c r="H156" s="6" t="e">
        <f>(F156+G156)*$H$106</f>
        <v>#VALUE!</v>
      </c>
      <c r="I156" s="6" t="e">
        <f>F156+G156+H156</f>
        <v>#VALUE!</v>
      </c>
      <c r="J156" s="1"/>
    </row>
    <row r="157" spans="2:12" ht="17.25" thickTop="1" thickBot="1">
      <c r="C157" s="1"/>
      <c r="D157" s="9">
        <f>SUM(D152:D156)</f>
        <v>0</v>
      </c>
      <c r="E157" s="1"/>
      <c r="F157" s="15" t="e">
        <f>SUM(F152:F156)</f>
        <v>#VALUE!</v>
      </c>
      <c r="G157" s="55"/>
      <c r="H157" s="55"/>
      <c r="I157" s="15" t="e">
        <f>SUM(I152:I156)</f>
        <v>#VALUE!</v>
      </c>
      <c r="J157" s="1"/>
    </row>
    <row r="158" spans="2:12" ht="16.5" thickTop="1">
      <c r="C158" s="1"/>
      <c r="D158" s="9"/>
      <c r="E158" s="1"/>
      <c r="F158" s="385"/>
      <c r="G158" s="386"/>
      <c r="H158" s="386"/>
      <c r="I158" s="385"/>
      <c r="J158" s="1"/>
    </row>
    <row r="159" spans="2:12">
      <c r="B159" s="579"/>
      <c r="C159" s="580"/>
      <c r="D159" s="580"/>
      <c r="E159" s="580" t="s">
        <v>93</v>
      </c>
      <c r="F159" s="580"/>
      <c r="G159" s="580"/>
      <c r="H159" s="580"/>
      <c r="I159" s="580"/>
      <c r="J159" s="580"/>
      <c r="K159" s="580"/>
      <c r="L159" s="581"/>
    </row>
    <row r="160" spans="2:12" ht="6.95" customHeight="1">
      <c r="B160" s="57"/>
      <c r="C160" s="57"/>
      <c r="D160" s="57"/>
      <c r="E160" s="57"/>
      <c r="F160" s="58"/>
      <c r="G160" s="59"/>
      <c r="H160" s="60"/>
      <c r="I160" s="57"/>
      <c r="J160" s="57"/>
      <c r="K160" s="57"/>
      <c r="L160" s="57"/>
    </row>
    <row r="161" spans="2:12">
      <c r="F161" s="2"/>
      <c r="G161" s="582" t="s">
        <v>119</v>
      </c>
      <c r="H161" s="583"/>
    </row>
    <row r="162" spans="2:12" ht="31.5">
      <c r="D162" s="1"/>
      <c r="E162" s="1"/>
      <c r="F162" s="3"/>
      <c r="G162" s="24" t="s">
        <v>98</v>
      </c>
      <c r="H162" s="24" t="s">
        <v>99</v>
      </c>
      <c r="I162" s="2"/>
      <c r="J162" s="1"/>
      <c r="K162" s="1"/>
    </row>
    <row r="163" spans="2:12">
      <c r="E163" s="1"/>
      <c r="F163" s="4"/>
      <c r="G163" s="54" t="e">
        <f>G106</f>
        <v>#DIV/0!</v>
      </c>
      <c r="H163" s="54" t="e">
        <f>H106</f>
        <v>#DIV/0!</v>
      </c>
      <c r="I163" s="4"/>
      <c r="J163" s="1"/>
    </row>
    <row r="164" spans="2:12">
      <c r="B164" s="5" t="s">
        <v>20</v>
      </c>
      <c r="C164" s="1"/>
      <c r="D164" s="5" t="s">
        <v>5</v>
      </c>
      <c r="E164" s="1"/>
      <c r="F164" s="588"/>
      <c r="G164" s="589" t="s">
        <v>20</v>
      </c>
      <c r="H164" s="589"/>
      <c r="I164" s="590"/>
      <c r="J164" s="1"/>
      <c r="K164" s="5" t="s">
        <v>5</v>
      </c>
      <c r="L164" s="5" t="s">
        <v>5</v>
      </c>
    </row>
    <row r="165" spans="2:12" ht="31.5">
      <c r="B165" s="5" t="s">
        <v>8</v>
      </c>
      <c r="C165" s="1"/>
      <c r="D165" s="5"/>
      <c r="E165" s="1"/>
      <c r="F165" s="13" t="s">
        <v>46</v>
      </c>
      <c r="G165" s="13" t="s">
        <v>19</v>
      </c>
      <c r="H165" s="5" t="s">
        <v>18</v>
      </c>
      <c r="I165" s="5" t="s">
        <v>15</v>
      </c>
      <c r="J165" s="1"/>
      <c r="K165" s="5" t="s">
        <v>94</v>
      </c>
      <c r="L165" s="5" t="s">
        <v>95</v>
      </c>
    </row>
    <row r="166" spans="2:12">
      <c r="B166" s="5" t="s">
        <v>17</v>
      </c>
      <c r="C166" s="1"/>
      <c r="D166" s="5" t="s">
        <v>4</v>
      </c>
      <c r="E166" s="1"/>
      <c r="F166" s="5" t="s">
        <v>17</v>
      </c>
      <c r="G166" s="5" t="s">
        <v>17</v>
      </c>
      <c r="H166" s="5" t="s">
        <v>17</v>
      </c>
      <c r="I166" s="5" t="s">
        <v>17</v>
      </c>
      <c r="J166" s="1"/>
      <c r="K166" s="5" t="s">
        <v>17</v>
      </c>
      <c r="L166" s="5" t="s">
        <v>17</v>
      </c>
    </row>
    <row r="167" spans="2:12">
      <c r="B167" s="17" t="e">
        <f>B110</f>
        <v>#VALUE!</v>
      </c>
      <c r="C167" s="1" t="s">
        <v>21</v>
      </c>
      <c r="D167" s="11">
        <f>D51</f>
        <v>0</v>
      </c>
      <c r="E167" s="14" t="s">
        <v>22</v>
      </c>
      <c r="F167" s="6" t="e">
        <f>B167*D167</f>
        <v>#VALUE!</v>
      </c>
      <c r="G167" s="6" t="e">
        <f>F167*$G$163</f>
        <v>#VALUE!</v>
      </c>
      <c r="H167" s="6" t="e">
        <f>(F167+G167)*$H$163</f>
        <v>#VALUE!</v>
      </c>
      <c r="I167" s="6" t="e">
        <f>F167+G167+H167</f>
        <v>#VALUE!</v>
      </c>
      <c r="J167" s="1"/>
      <c r="K167" s="11" t="e">
        <f>F167*F51%</f>
        <v>#VALUE!</v>
      </c>
      <c r="L167" s="11" t="e">
        <f>F167-K167</f>
        <v>#VALUE!</v>
      </c>
    </row>
    <row r="168" spans="2:12">
      <c r="B168" s="17" t="e">
        <f>B111</f>
        <v>#VALUE!</v>
      </c>
      <c r="C168" s="1" t="s">
        <v>21</v>
      </c>
      <c r="D168" s="11">
        <f>D52</f>
        <v>0</v>
      </c>
      <c r="E168" s="14" t="s">
        <v>22</v>
      </c>
      <c r="F168" s="6" t="e">
        <f>B168*D168</f>
        <v>#VALUE!</v>
      </c>
      <c r="G168" s="6" t="e">
        <f>F168*$G$163</f>
        <v>#VALUE!</v>
      </c>
      <c r="H168" s="6" t="e">
        <f>(F168+G168)*$H$163</f>
        <v>#VALUE!</v>
      </c>
      <c r="I168" s="6" t="e">
        <f>F168+G168+H168</f>
        <v>#VALUE!</v>
      </c>
      <c r="J168" s="1"/>
      <c r="K168" s="11" t="e">
        <f>F168*F52%</f>
        <v>#VALUE!</v>
      </c>
      <c r="L168" s="11" t="e">
        <f>F168-K168</f>
        <v>#VALUE!</v>
      </c>
    </row>
    <row r="169" spans="2:12">
      <c r="B169" s="17" t="e">
        <f>B112</f>
        <v>#VALUE!</v>
      </c>
      <c r="C169" s="1" t="s">
        <v>21</v>
      </c>
      <c r="D169" s="11">
        <f>D53</f>
        <v>0</v>
      </c>
      <c r="E169" s="14" t="s">
        <v>22</v>
      </c>
      <c r="F169" s="6" t="e">
        <f>B169*D169</f>
        <v>#VALUE!</v>
      </c>
      <c r="G169" s="6" t="e">
        <f>F169*$G$163</f>
        <v>#VALUE!</v>
      </c>
      <c r="H169" s="6" t="e">
        <f>(F169+G169)*$H$163</f>
        <v>#VALUE!</v>
      </c>
      <c r="I169" s="6" t="e">
        <f>F169+G169+H169</f>
        <v>#VALUE!</v>
      </c>
      <c r="J169" s="1"/>
      <c r="K169" s="11" t="e">
        <f>F169*F53%</f>
        <v>#VALUE!</v>
      </c>
      <c r="L169" s="11" t="e">
        <f>F169-K169</f>
        <v>#VALUE!</v>
      </c>
    </row>
    <row r="170" spans="2:12">
      <c r="B170" s="17" t="e">
        <f>B113</f>
        <v>#VALUE!</v>
      </c>
      <c r="C170" s="1" t="s">
        <v>21</v>
      </c>
      <c r="D170" s="11">
        <f>D54</f>
        <v>0</v>
      </c>
      <c r="E170" s="14" t="s">
        <v>22</v>
      </c>
      <c r="F170" s="6" t="e">
        <f>B170*D170</f>
        <v>#VALUE!</v>
      </c>
      <c r="G170" s="6" t="e">
        <f>F170*$G$163</f>
        <v>#VALUE!</v>
      </c>
      <c r="H170" s="6" t="e">
        <f>(F170+G170)*$H$163</f>
        <v>#VALUE!</v>
      </c>
      <c r="I170" s="6" t="e">
        <f>F170+G170+H170</f>
        <v>#VALUE!</v>
      </c>
      <c r="J170" s="1"/>
      <c r="K170" s="11" t="e">
        <f>F170*F54%</f>
        <v>#VALUE!</v>
      </c>
      <c r="L170" s="11" t="e">
        <f>F170-K170</f>
        <v>#VALUE!</v>
      </c>
    </row>
    <row r="171" spans="2:12" ht="16.5" thickBot="1">
      <c r="B171" s="17" t="e">
        <f>B114</f>
        <v>#VALUE!</v>
      </c>
      <c r="C171" s="1" t="s">
        <v>21</v>
      </c>
      <c r="D171" s="11">
        <f>D55</f>
        <v>0</v>
      </c>
      <c r="E171" s="14" t="s">
        <v>22</v>
      </c>
      <c r="F171" s="6" t="e">
        <f>B171*D171</f>
        <v>#VALUE!</v>
      </c>
      <c r="G171" s="6" t="e">
        <f>F171*$G$163</f>
        <v>#VALUE!</v>
      </c>
      <c r="H171" s="6" t="e">
        <f>(F171+G171)*$H$163</f>
        <v>#VALUE!</v>
      </c>
      <c r="I171" s="6" t="e">
        <f>F171+G171+H171</f>
        <v>#VALUE!</v>
      </c>
      <c r="J171" s="1"/>
      <c r="K171" s="11" t="e">
        <f>F171*F55%</f>
        <v>#VALUE!</v>
      </c>
      <c r="L171" s="11" t="e">
        <f>F171-K171</f>
        <v>#VALUE!</v>
      </c>
    </row>
    <row r="172" spans="2:12" ht="17.25" thickTop="1" thickBot="1">
      <c r="C172" s="1"/>
      <c r="D172" s="9">
        <f>SUM(D167:D171)</f>
        <v>0</v>
      </c>
      <c r="E172" s="1"/>
      <c r="F172" s="15" t="e">
        <f>SUM(F167:F171)</f>
        <v>#VALUE!</v>
      </c>
      <c r="G172" s="15" t="e">
        <f>SUM(G167:G171)</f>
        <v>#VALUE!</v>
      </c>
      <c r="H172" s="15" t="e">
        <f>SUM(H167:H171)</f>
        <v>#VALUE!</v>
      </c>
      <c r="I172" s="15" t="e">
        <f>SUM(I167:I171)</f>
        <v>#VALUE!</v>
      </c>
      <c r="J172" s="1"/>
      <c r="K172" s="30" t="e">
        <f>SUM(K167:K171)</f>
        <v>#VALUE!</v>
      </c>
      <c r="L172" s="30" t="e">
        <f>SUM(L167:L171)</f>
        <v>#VALUE!</v>
      </c>
    </row>
    <row r="173" spans="2:12" ht="17.25" thickTop="1" thickBot="1">
      <c r="F173" s="36"/>
      <c r="G173" s="584" t="e">
        <f>G172+H172</f>
        <v>#VALUE!</v>
      </c>
      <c r="H173" s="585"/>
      <c r="I173" s="36"/>
      <c r="K173" s="586" t="e">
        <f>K172+L172</f>
        <v>#VALUE!</v>
      </c>
      <c r="L173" s="587"/>
    </row>
    <row r="174" spans="2:12" ht="16.5" thickTop="1">
      <c r="B174" s="8"/>
      <c r="C174" s="8"/>
      <c r="D174" s="8"/>
      <c r="F174" s="1" t="s">
        <v>100</v>
      </c>
      <c r="G174" s="592">
        <f>IFERROR(ROUND(G173/Tage_nach_Auslastung/Klienten,2),0)</f>
        <v>0</v>
      </c>
      <c r="H174" s="592"/>
      <c r="I174" s="1"/>
      <c r="J174" s="1" t="s">
        <v>100</v>
      </c>
      <c r="K174" s="591">
        <f>IFERROR(ROUND(K173/Tage_nach_Auslastung/Klienten,2),0)</f>
        <v>0</v>
      </c>
      <c r="L174" s="591"/>
    </row>
    <row r="175" spans="2:12" ht="16.5" thickBot="1">
      <c r="J175" s="1"/>
    </row>
    <row r="176" spans="2:12" ht="17.25" thickTop="1" thickBot="1">
      <c r="F176" t="e">
        <f>Basiskosten_iL/365</f>
        <v>#VALUE!</v>
      </c>
      <c r="H176" s="15" t="s">
        <v>285</v>
      </c>
      <c r="I176" s="433" t="e">
        <f>I87+I101+I115+I172+I129+I143+I157</f>
        <v>#VALUE!</v>
      </c>
    </row>
    <row r="177" spans="9:10" ht="16.5" thickTop="1">
      <c r="I177" s="8"/>
      <c r="J177" s="1"/>
    </row>
    <row r="178" spans="9:10">
      <c r="J178" s="1"/>
    </row>
    <row r="179" spans="9:10">
      <c r="J179" s="1"/>
    </row>
  </sheetData>
  <mergeCells count="21">
    <mergeCell ref="B103:L103"/>
    <mergeCell ref="B145:L145"/>
    <mergeCell ref="N64:N71"/>
    <mergeCell ref="N86:N87"/>
    <mergeCell ref="E67:G67"/>
    <mergeCell ref="E68:G68"/>
    <mergeCell ref="N56:N59"/>
    <mergeCell ref="B73:L73"/>
    <mergeCell ref="B89:L89"/>
    <mergeCell ref="N7:N12"/>
    <mergeCell ref="C3:L3"/>
    <mergeCell ref="C1:L1"/>
    <mergeCell ref="C2:L2"/>
    <mergeCell ref="N21:N25"/>
    <mergeCell ref="C5:D5"/>
    <mergeCell ref="G5:I5"/>
    <mergeCell ref="N35:N39"/>
    <mergeCell ref="B117:L117"/>
    <mergeCell ref="B131:L131"/>
    <mergeCell ref="E70:G70"/>
    <mergeCell ref="E66:G66"/>
  </mergeCells>
  <phoneticPr fontId="2" type="noConversion"/>
  <conditionalFormatting sqref="J51:J55">
    <cfRule type="expression" dxfId="2" priority="2">
      <formula>ISERROR(J51)</formula>
    </cfRule>
  </conditionalFormatting>
  <pageMargins left="0.7" right="0.7" top="0.78740157499999996" bottom="0.78740157499999996" header="0.3" footer="0.3"/>
  <pageSetup paperSize="9" scale="65" fitToHeight="0" orientation="portrait" r:id="rId1"/>
  <rowBreaks count="1" manualBreakCount="1">
    <brk id="74" min="1" max="11"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Listen!$G$1:$G$5</xm:f>
          </x14:formula1>
          <xm:sqref>G5:I5</xm:sqref>
        </x14:dataValidation>
        <x14:dataValidation type="list" allowBlank="1" showInputMessage="1" xr:uid="{00000000-0002-0000-0B00-000001000000}">
          <x14:formula1>
            <xm:f>Listen!$E$1:$E$7</xm:f>
          </x14:formula1>
          <xm:sqref>B16:D16 F16:H16 J16:L16 B30:D30 F30:H30 J30:L30</xm:sqref>
        </x14:dataValidation>
        <x14:dataValidation type="list" allowBlank="1" showInputMessage="1" showErrorMessage="1" xr:uid="{00000000-0002-0000-0B00-000002000000}">
          <x14:formula1>
            <xm:f>Listen!$I$1:$I$3</xm:f>
          </x14:formula1>
          <xm:sqref>L5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sheetPr>
  <dimension ref="A1:O83"/>
  <sheetViews>
    <sheetView zoomScale="85" zoomScaleNormal="85" workbookViewId="0">
      <selection activeCell="A2" sqref="A2"/>
    </sheetView>
  </sheetViews>
  <sheetFormatPr baseColWidth="10" defaultColWidth="10.875" defaultRowHeight="12.75"/>
  <cols>
    <col min="1" max="1" width="34.875" style="112" bestFit="1" customWidth="1"/>
    <col min="2" max="2" width="17.625" style="112" customWidth="1"/>
    <col min="3" max="3" width="19.125" style="112" bestFit="1" customWidth="1"/>
    <col min="4" max="4" width="15.875" style="112" bestFit="1" customWidth="1"/>
    <col min="5" max="5" width="14.375" style="112" customWidth="1"/>
    <col min="6" max="6" width="14.625" style="112" customWidth="1"/>
    <col min="7" max="7" width="8.125" style="156" customWidth="1"/>
    <col min="8" max="8" width="14.625" style="112" bestFit="1" customWidth="1"/>
    <col min="9" max="9" width="18.75" style="112" bestFit="1" customWidth="1"/>
    <col min="10" max="11" width="20.375" style="112" bestFit="1" customWidth="1"/>
    <col min="12" max="12" width="15.75" style="112" bestFit="1" customWidth="1"/>
    <col min="13" max="13" width="14.75" style="112" bestFit="1" customWidth="1"/>
    <col min="14" max="14" width="17.5" style="112" bestFit="1" customWidth="1"/>
    <col min="15" max="15" width="20.375" style="112" bestFit="1" customWidth="1"/>
    <col min="16" max="16384" width="10.875" style="112"/>
  </cols>
  <sheetData>
    <row r="1" spans="1:15" ht="18.75">
      <c r="A1" s="511" t="s">
        <v>245</v>
      </c>
      <c r="B1" s="512"/>
      <c r="C1" s="512"/>
      <c r="D1" s="512"/>
      <c r="E1" s="155"/>
      <c r="F1" s="139"/>
    </row>
    <row r="2" spans="1:15" ht="13.5" thickBot="1">
      <c r="A2" s="140"/>
      <c r="F2" s="141"/>
    </row>
    <row r="3" spans="1:15" s="203" customFormat="1" ht="16.5" thickBot="1">
      <c r="A3" s="250" t="s">
        <v>140</v>
      </c>
      <c r="B3" s="517" t="str">
        <f>IF('1. Übersicht'!B1&lt;&gt;0,'1. Übersicht'!B1,"")</f>
        <v/>
      </c>
      <c r="C3" s="517"/>
      <c r="D3" s="517"/>
      <c r="E3" s="517"/>
      <c r="F3" s="518"/>
      <c r="J3" s="519" t="s">
        <v>452</v>
      </c>
      <c r="K3" s="520"/>
      <c r="L3" s="520" t="s">
        <v>453</v>
      </c>
      <c r="M3" s="521"/>
    </row>
    <row r="4" spans="1:15" s="203" customFormat="1" ht="15.75">
      <c r="A4" s="250" t="s">
        <v>139</v>
      </c>
      <c r="B4" s="517" t="str">
        <f>IF('1. Übersicht'!B2&lt;&gt;0,'1. Übersicht'!B2,"")</f>
        <v/>
      </c>
      <c r="C4" s="517"/>
      <c r="D4" s="517"/>
      <c r="E4" s="517"/>
      <c r="F4" s="518"/>
      <c r="H4" s="522" t="s">
        <v>457</v>
      </c>
      <c r="I4" s="523"/>
      <c r="J4" s="262" t="s">
        <v>454</v>
      </c>
      <c r="K4" s="396"/>
      <c r="L4" s="261" t="s">
        <v>454</v>
      </c>
      <c r="M4" s="399"/>
    </row>
    <row r="5" spans="1:15" s="203" customFormat="1" ht="15.75">
      <c r="A5" s="250" t="s">
        <v>141</v>
      </c>
      <c r="B5" s="517" t="str">
        <f>IF('1. Übersicht'!B3&lt;&gt;0,'1. Übersicht'!B3,"")</f>
        <v/>
      </c>
      <c r="C5" s="517"/>
      <c r="D5" s="517"/>
      <c r="E5" s="517"/>
      <c r="F5" s="518"/>
      <c r="H5" s="142" t="s">
        <v>450</v>
      </c>
      <c r="I5" s="392" t="str">
        <f>IFERROR(1-I6,"")</f>
        <v/>
      </c>
      <c r="J5" s="391" t="s">
        <v>35</v>
      </c>
      <c r="K5" s="394"/>
      <c r="L5" s="388" t="s">
        <v>35</v>
      </c>
      <c r="M5" s="395"/>
    </row>
    <row r="6" spans="1:15" s="203" customFormat="1" ht="16.5" thickBot="1">
      <c r="A6" s="250" t="s">
        <v>153</v>
      </c>
      <c r="B6" s="517" t="str">
        <f>IF('1. Übersicht'!B4&lt;&gt;0,'1. Übersicht'!B4,"")</f>
        <v>In den Tabellenblättern 2.bis 2b. jeweils beim Personal angeben</v>
      </c>
      <c r="C6" s="517"/>
      <c r="D6" s="517"/>
      <c r="E6" s="517"/>
      <c r="F6" s="518"/>
      <c r="H6" s="389" t="s">
        <v>451</v>
      </c>
      <c r="I6" s="393" t="str">
        <f>IFERROR(F36/F38,"")</f>
        <v/>
      </c>
      <c r="J6" s="391" t="s">
        <v>36</v>
      </c>
      <c r="K6" s="394"/>
      <c r="L6" s="388" t="s">
        <v>36</v>
      </c>
      <c r="M6" s="395"/>
    </row>
    <row r="7" spans="1:15" s="203" customFormat="1" ht="15.75">
      <c r="A7" s="250" t="s">
        <v>142</v>
      </c>
      <c r="B7" s="517" t="str">
        <f>IF('1. Übersicht'!B5&lt;&gt;0,'1. Übersicht'!B5,"")</f>
        <v/>
      </c>
      <c r="C7" s="517"/>
      <c r="D7" s="517"/>
      <c r="E7" s="517"/>
      <c r="F7" s="518"/>
      <c r="H7" s="112"/>
      <c r="I7" s="112"/>
      <c r="J7" s="142" t="s">
        <v>0</v>
      </c>
      <c r="K7" s="397"/>
      <c r="L7" s="388" t="s">
        <v>0</v>
      </c>
      <c r="M7" s="395"/>
    </row>
    <row r="8" spans="1:15" s="203" customFormat="1" ht="15.75">
      <c r="A8" s="250" t="s">
        <v>143</v>
      </c>
      <c r="B8" s="517" t="str">
        <f>IF('1. Übersicht'!B6&lt;&gt;0,'1. Übersicht'!B6,"")</f>
        <v/>
      </c>
      <c r="C8" s="517"/>
      <c r="D8" s="517"/>
      <c r="E8" s="517"/>
      <c r="F8" s="518"/>
      <c r="H8" s="112"/>
      <c r="I8" s="112"/>
      <c r="J8" s="142" t="s">
        <v>1</v>
      </c>
      <c r="K8" s="397"/>
      <c r="L8" s="388" t="s">
        <v>1</v>
      </c>
      <c r="M8" s="395"/>
    </row>
    <row r="9" spans="1:15" ht="16.5" thickBot="1">
      <c r="A9" s="250" t="s">
        <v>144</v>
      </c>
      <c r="B9" s="517" t="str">
        <f>IF('1. Übersicht'!B7&lt;&gt;0,'1. Übersicht'!B7,"")</f>
        <v/>
      </c>
      <c r="C9" s="517"/>
      <c r="D9" s="517"/>
      <c r="E9" s="517"/>
      <c r="F9" s="518"/>
      <c r="J9" s="389" t="s">
        <v>2</v>
      </c>
      <c r="K9" s="398"/>
      <c r="L9" s="390" t="s">
        <v>2</v>
      </c>
      <c r="M9" s="400"/>
    </row>
    <row r="10" spans="1:15" ht="16.5" thickBot="1">
      <c r="A10" s="204"/>
      <c r="B10" s="170"/>
      <c r="C10" s="170"/>
      <c r="D10" s="170"/>
      <c r="E10" s="205"/>
      <c r="F10" s="146"/>
    </row>
    <row r="11" spans="1:15" ht="38.25" customHeight="1">
      <c r="A11" s="158"/>
      <c r="B11" s="159"/>
      <c r="C11" s="160"/>
      <c r="D11" s="513" t="s">
        <v>244</v>
      </c>
      <c r="E11" s="513" t="s">
        <v>243</v>
      </c>
      <c r="F11" s="513" t="s">
        <v>242</v>
      </c>
      <c r="G11" s="161"/>
    </row>
    <row r="12" spans="1:15">
      <c r="A12" s="162"/>
      <c r="B12" s="163"/>
      <c r="C12" s="164"/>
      <c r="D12" s="514"/>
      <c r="E12" s="514"/>
      <c r="F12" s="514"/>
      <c r="G12" s="165"/>
    </row>
    <row r="13" spans="1:15">
      <c r="A13" s="166"/>
      <c r="B13" s="157"/>
      <c r="C13" s="164"/>
      <c r="D13" s="167" t="s">
        <v>240</v>
      </c>
      <c r="E13" s="167" t="s">
        <v>241</v>
      </c>
      <c r="F13" s="168" t="s">
        <v>240</v>
      </c>
    </row>
    <row r="14" spans="1:15" ht="13.5" thickBot="1">
      <c r="A14" s="169"/>
      <c r="B14" s="170"/>
      <c r="C14" s="171" t="s">
        <v>181</v>
      </c>
      <c r="D14" s="172"/>
      <c r="E14" s="172"/>
      <c r="F14" s="173"/>
    </row>
    <row r="15" spans="1:15">
      <c r="A15" s="174" t="s">
        <v>257</v>
      </c>
      <c r="B15" s="175"/>
      <c r="C15" s="235"/>
      <c r="D15" s="206" t="s">
        <v>259</v>
      </c>
      <c r="E15" s="245"/>
      <c r="F15" s="224" t="s">
        <v>259</v>
      </c>
      <c r="H15" s="403" t="s">
        <v>460</v>
      </c>
      <c r="I15" s="404" t="s">
        <v>461</v>
      </c>
      <c r="J15" s="404" t="s">
        <v>455</v>
      </c>
      <c r="K15" s="405" t="s">
        <v>456</v>
      </c>
      <c r="L15" s="403" t="s">
        <v>460</v>
      </c>
      <c r="M15" s="404" t="s">
        <v>461</v>
      </c>
      <c r="N15" s="404" t="s">
        <v>458</v>
      </c>
      <c r="O15" s="405" t="s">
        <v>459</v>
      </c>
    </row>
    <row r="16" spans="1:15">
      <c r="A16" s="176" t="s">
        <v>35</v>
      </c>
      <c r="B16" s="177"/>
      <c r="C16" s="236">
        <f>'2. Betreuungspersonal'!B10</f>
        <v>0</v>
      </c>
      <c r="D16" s="240">
        <f>IFERROR('2. Betreuungspersonal'!B9,0)</f>
        <v>0</v>
      </c>
      <c r="E16" s="243">
        <v>0.04</v>
      </c>
      <c r="F16" s="225">
        <f>D16+(D16*E16)</f>
        <v>0</v>
      </c>
      <c r="G16" s="165"/>
      <c r="H16" s="406" t="e">
        <f>$K$4*$I$6</f>
        <v>#VALUE!</v>
      </c>
      <c r="I16" s="401" t="e">
        <f>K5*$I$5</f>
        <v>#VALUE!</v>
      </c>
      <c r="J16" s="402" t="e">
        <f>F16+(F16*H16)</f>
        <v>#VALUE!</v>
      </c>
      <c r="K16" s="407" t="e">
        <f>J16+(F16*I16)</f>
        <v>#VALUE!</v>
      </c>
      <c r="L16" s="406" t="e">
        <f>$M$4*$I$6</f>
        <v>#VALUE!</v>
      </c>
      <c r="M16" s="401" t="e">
        <f>M5*$I$5</f>
        <v>#VALUE!</v>
      </c>
      <c r="N16" s="402" t="e">
        <f>K16+(K16*L16)</f>
        <v>#VALUE!</v>
      </c>
      <c r="O16" s="412" t="e">
        <f>N16+(K16*M16)</f>
        <v>#VALUE!</v>
      </c>
    </row>
    <row r="17" spans="1:15">
      <c r="A17" s="176" t="s">
        <v>36</v>
      </c>
      <c r="B17" s="178"/>
      <c r="C17" s="236">
        <f>'2. Betreuungspersonal'!C10</f>
        <v>0</v>
      </c>
      <c r="D17" s="240">
        <f>IFERROR('2. Betreuungspersonal'!C9,0)</f>
        <v>0</v>
      </c>
      <c r="E17" s="243">
        <v>0.04</v>
      </c>
      <c r="F17" s="225">
        <f>D17+(D17*E17)</f>
        <v>0</v>
      </c>
      <c r="G17" s="165"/>
      <c r="H17" s="406" t="e">
        <f t="shared" ref="H17:H20" si="0">$K$4*$I$6</f>
        <v>#VALUE!</v>
      </c>
      <c r="I17" s="401" t="e">
        <f t="shared" ref="I17:I20" si="1">K6*$I$5</f>
        <v>#VALUE!</v>
      </c>
      <c r="J17" s="402" t="e">
        <f t="shared" ref="J17:J20" si="2">F17+(F17*H17)</f>
        <v>#VALUE!</v>
      </c>
      <c r="K17" s="407" t="e">
        <f t="shared" ref="K17:K20" si="3">J17+(F17*I17)</f>
        <v>#VALUE!</v>
      </c>
      <c r="L17" s="406" t="e">
        <f t="shared" ref="L17:L20" si="4">$M$4*$I$6</f>
        <v>#VALUE!</v>
      </c>
      <c r="M17" s="401" t="e">
        <f t="shared" ref="M17:M20" si="5">M6*$I$5</f>
        <v>#VALUE!</v>
      </c>
      <c r="N17" s="402" t="e">
        <f t="shared" ref="N17:N20" si="6">K17+(K17*L17)</f>
        <v>#VALUE!</v>
      </c>
      <c r="O17" s="412" t="e">
        <f t="shared" ref="O17:O20" si="7">N17+(K17*M17)</f>
        <v>#VALUE!</v>
      </c>
    </row>
    <row r="18" spans="1:15">
      <c r="A18" s="176" t="s">
        <v>0</v>
      </c>
      <c r="B18" s="177"/>
      <c r="C18" s="236">
        <f>'2. Betreuungspersonal'!D10</f>
        <v>0</v>
      </c>
      <c r="D18" s="240">
        <f>IFERROR('2. Betreuungspersonal'!D9,0)</f>
        <v>0</v>
      </c>
      <c r="E18" s="243">
        <v>0.04</v>
      </c>
      <c r="F18" s="225">
        <f>D18+(D18*E18)</f>
        <v>0</v>
      </c>
      <c r="G18" s="165"/>
      <c r="H18" s="406" t="e">
        <f t="shared" si="0"/>
        <v>#VALUE!</v>
      </c>
      <c r="I18" s="401" t="e">
        <f t="shared" si="1"/>
        <v>#VALUE!</v>
      </c>
      <c r="J18" s="402" t="e">
        <f t="shared" si="2"/>
        <v>#VALUE!</v>
      </c>
      <c r="K18" s="407" t="e">
        <f t="shared" si="3"/>
        <v>#VALUE!</v>
      </c>
      <c r="L18" s="406" t="e">
        <f t="shared" si="4"/>
        <v>#VALUE!</v>
      </c>
      <c r="M18" s="401" t="e">
        <f t="shared" si="5"/>
        <v>#VALUE!</v>
      </c>
      <c r="N18" s="402" t="e">
        <f t="shared" si="6"/>
        <v>#VALUE!</v>
      </c>
      <c r="O18" s="412" t="e">
        <f t="shared" si="7"/>
        <v>#VALUE!</v>
      </c>
    </row>
    <row r="19" spans="1:15">
      <c r="A19" s="176" t="s">
        <v>1</v>
      </c>
      <c r="B19" s="177"/>
      <c r="C19" s="236">
        <f>'2. Betreuungspersonal'!E10</f>
        <v>0</v>
      </c>
      <c r="D19" s="240">
        <f>IFERROR('2. Betreuungspersonal'!E9,0)</f>
        <v>0</v>
      </c>
      <c r="E19" s="243">
        <v>0.04</v>
      </c>
      <c r="F19" s="225">
        <f>D19+(D19*E19)</f>
        <v>0</v>
      </c>
      <c r="G19" s="165"/>
      <c r="H19" s="406" t="e">
        <f t="shared" si="0"/>
        <v>#VALUE!</v>
      </c>
      <c r="I19" s="401" t="e">
        <f t="shared" si="1"/>
        <v>#VALUE!</v>
      </c>
      <c r="J19" s="402" t="e">
        <f t="shared" si="2"/>
        <v>#VALUE!</v>
      </c>
      <c r="K19" s="407" t="e">
        <f t="shared" si="3"/>
        <v>#VALUE!</v>
      </c>
      <c r="L19" s="406" t="e">
        <f t="shared" si="4"/>
        <v>#VALUE!</v>
      </c>
      <c r="M19" s="401" t="e">
        <f t="shared" si="5"/>
        <v>#VALUE!</v>
      </c>
      <c r="N19" s="402" t="e">
        <f t="shared" si="6"/>
        <v>#VALUE!</v>
      </c>
      <c r="O19" s="412" t="e">
        <f t="shared" si="7"/>
        <v>#VALUE!</v>
      </c>
    </row>
    <row r="20" spans="1:15" ht="13.5" thickBot="1">
      <c r="A20" s="179" t="s">
        <v>2</v>
      </c>
      <c r="B20" s="180"/>
      <c r="C20" s="237">
        <f>'2. Betreuungspersonal'!F10</f>
        <v>0</v>
      </c>
      <c r="D20" s="241">
        <f>IFERROR('2. Betreuungspersonal'!F9,0)</f>
        <v>0</v>
      </c>
      <c r="E20" s="244">
        <v>0.04</v>
      </c>
      <c r="F20" s="226">
        <f>D20+(D20*E20)</f>
        <v>0</v>
      </c>
      <c r="G20" s="165"/>
      <c r="H20" s="408" t="e">
        <f t="shared" si="0"/>
        <v>#VALUE!</v>
      </c>
      <c r="I20" s="409" t="e">
        <f t="shared" si="1"/>
        <v>#VALUE!</v>
      </c>
      <c r="J20" s="410" t="e">
        <f t="shared" si="2"/>
        <v>#VALUE!</v>
      </c>
      <c r="K20" s="411" t="e">
        <f t="shared" si="3"/>
        <v>#VALUE!</v>
      </c>
      <c r="L20" s="408" t="e">
        <f t="shared" si="4"/>
        <v>#VALUE!</v>
      </c>
      <c r="M20" s="409" t="e">
        <f t="shared" si="5"/>
        <v>#VALUE!</v>
      </c>
      <c r="N20" s="410" t="e">
        <f t="shared" si="6"/>
        <v>#VALUE!</v>
      </c>
      <c r="O20" s="413" t="e">
        <f t="shared" si="7"/>
        <v>#VALUE!</v>
      </c>
    </row>
    <row r="21" spans="1:15" ht="13.5" thickBot="1">
      <c r="A21" s="166"/>
      <c r="B21" s="157"/>
      <c r="C21" s="238"/>
      <c r="D21" s="215"/>
      <c r="E21" s="246"/>
      <c r="F21" s="227"/>
      <c r="G21" s="112"/>
    </row>
    <row r="22" spans="1:15" ht="12.75" customHeight="1" thickBot="1">
      <c r="A22" s="181" t="s">
        <v>258</v>
      </c>
      <c r="B22" s="182"/>
      <c r="C22" s="264">
        <f>SUM(C16:C20)</f>
        <v>0</v>
      </c>
      <c r="D22" s="242">
        <f>C16*D16+C17*D17+C18*D18+C19*D19+C20*D20</f>
        <v>0</v>
      </c>
      <c r="E22" s="247"/>
      <c r="F22" s="228">
        <f>C16*F16+C17*F17+C18*F18+C19*F19+C20*F20</f>
        <v>0</v>
      </c>
      <c r="G22" s="112"/>
    </row>
    <row r="23" spans="1:15" ht="13.5" customHeight="1" thickBot="1">
      <c r="A23" s="166"/>
      <c r="B23" s="157"/>
      <c r="C23" s="157"/>
      <c r="D23" s="219"/>
      <c r="E23" s="246"/>
      <c r="F23" s="227"/>
      <c r="G23" s="112"/>
    </row>
    <row r="24" spans="1:15">
      <c r="A24" s="183" t="s">
        <v>239</v>
      </c>
      <c r="B24" s="184"/>
      <c r="C24" s="239">
        <f>'2a. V1 LTG_VW'!I49</f>
        <v>0</v>
      </c>
      <c r="D24" s="213" t="e">
        <f>D25/D22</f>
        <v>#DIV/0!</v>
      </c>
      <c r="E24" s="248"/>
      <c r="F24" s="229"/>
      <c r="G24" s="112"/>
    </row>
    <row r="25" spans="1:15" ht="13.5" thickBot="1">
      <c r="A25" s="185"/>
      <c r="B25" s="267" t="s">
        <v>238</v>
      </c>
      <c r="C25" s="186"/>
      <c r="D25" s="214">
        <f>'2a. V1 LTG_VW'!L51</f>
        <v>0</v>
      </c>
      <c r="E25" s="207">
        <v>0.04</v>
      </c>
      <c r="F25" s="230">
        <f>D25+(D25*E25)</f>
        <v>0</v>
      </c>
      <c r="G25" s="187" t="e">
        <f>F25/F22</f>
        <v>#DIV/0!</v>
      </c>
    </row>
    <row r="26" spans="1:15" ht="13.5" thickBot="1">
      <c r="A26" s="188"/>
      <c r="B26" s="133"/>
      <c r="C26" s="133"/>
      <c r="D26" s="215"/>
      <c r="E26" s="246"/>
      <c r="F26" s="227"/>
      <c r="G26" s="112"/>
    </row>
    <row r="27" spans="1:15" ht="13.5" thickBot="1">
      <c r="A27" s="515" t="s">
        <v>238</v>
      </c>
      <c r="B27" s="516"/>
      <c r="C27" s="516"/>
      <c r="D27" s="216">
        <f>D25</f>
        <v>0</v>
      </c>
      <c r="E27" s="247"/>
      <c r="F27" s="228">
        <f>F25</f>
        <v>0</v>
      </c>
      <c r="G27" s="112"/>
    </row>
    <row r="28" spans="1:15" ht="13.5" thickBot="1">
      <c r="A28" s="188"/>
      <c r="B28" s="133"/>
      <c r="C28" s="133"/>
      <c r="D28" s="217"/>
      <c r="E28" s="246"/>
      <c r="F28" s="227"/>
      <c r="G28" s="112"/>
    </row>
    <row r="29" spans="1:15" ht="13.5" thickBot="1">
      <c r="A29" s="515" t="s">
        <v>237</v>
      </c>
      <c r="B29" s="516"/>
      <c r="C29" s="516"/>
      <c r="D29" s="218">
        <f>D22+D27</f>
        <v>0</v>
      </c>
      <c r="E29" s="247"/>
      <c r="F29" s="228">
        <f>F22+F27</f>
        <v>0</v>
      </c>
      <c r="G29" s="189"/>
    </row>
    <row r="30" spans="1:15" ht="13.5" thickBot="1">
      <c r="A30" s="188"/>
      <c r="B30" s="133"/>
      <c r="C30" s="133"/>
      <c r="D30" s="219"/>
      <c r="E30" s="246"/>
      <c r="F30" s="227"/>
      <c r="G30" s="112"/>
      <c r="H30" s="190"/>
    </row>
    <row r="31" spans="1:15">
      <c r="A31" s="183" t="s">
        <v>236</v>
      </c>
      <c r="B31" s="184"/>
      <c r="C31" s="184"/>
      <c r="D31" s="213" t="e">
        <f>D36/D29</f>
        <v>#DIV/0!</v>
      </c>
      <c r="E31" s="248"/>
      <c r="F31" s="229"/>
      <c r="G31" s="112"/>
    </row>
    <row r="32" spans="1:15">
      <c r="A32" s="191"/>
      <c r="B32" s="268" t="s">
        <v>235</v>
      </c>
      <c r="C32" s="192"/>
      <c r="D32" s="220">
        <f>'2b. V2 SK u. IK'!C69</f>
        <v>0</v>
      </c>
      <c r="E32" s="263"/>
      <c r="F32" s="231">
        <f>D32</f>
        <v>0</v>
      </c>
      <c r="G32" s="112"/>
    </row>
    <row r="33" spans="1:7">
      <c r="A33" s="191"/>
      <c r="B33" s="268" t="s">
        <v>234</v>
      </c>
      <c r="C33" s="192"/>
      <c r="D33" s="220">
        <f>'2b. V2 SK u. IK'!E69</f>
        <v>0</v>
      </c>
      <c r="E33" s="208">
        <v>0.04</v>
      </c>
      <c r="F33" s="231">
        <f>D33+(D33*E33)</f>
        <v>0</v>
      </c>
      <c r="G33" s="112"/>
    </row>
    <row r="34" spans="1:7" ht="13.5" thickBot="1">
      <c r="A34" s="185"/>
      <c r="B34" s="267" t="s">
        <v>261</v>
      </c>
      <c r="C34" s="266">
        <f>'2b. V2 SK u. IK'!I105</f>
        <v>0</v>
      </c>
      <c r="D34" s="221">
        <f>'2b. V2 SK u. IK'!L105</f>
        <v>0</v>
      </c>
      <c r="E34" s="207">
        <v>0.04</v>
      </c>
      <c r="F34" s="230">
        <f>D34+(D34*E34)</f>
        <v>0</v>
      </c>
      <c r="G34" s="112"/>
    </row>
    <row r="35" spans="1:7" ht="13.5" thickBot="1">
      <c r="A35" s="188"/>
      <c r="B35" s="133"/>
      <c r="C35" s="133"/>
      <c r="D35" s="222"/>
      <c r="E35" s="246"/>
      <c r="F35" s="227"/>
      <c r="G35" s="112"/>
    </row>
    <row r="36" spans="1:7" ht="13.5" thickBot="1">
      <c r="A36" s="515" t="s">
        <v>262</v>
      </c>
      <c r="B36" s="516"/>
      <c r="C36" s="516"/>
      <c r="D36" s="223">
        <f>D33+D34</f>
        <v>0</v>
      </c>
      <c r="E36" s="247"/>
      <c r="F36" s="228">
        <f>SUM(F33:F34)</f>
        <v>0</v>
      </c>
      <c r="G36" s="187" t="e">
        <f>F36/F29</f>
        <v>#DIV/0!</v>
      </c>
    </row>
    <row r="37" spans="1:7" ht="13.5" thickBot="1">
      <c r="A37" s="140"/>
      <c r="D37" s="219"/>
      <c r="E37" s="246"/>
      <c r="F37" s="227"/>
      <c r="G37" s="112"/>
    </row>
    <row r="38" spans="1:7" s="193" customFormat="1" ht="13.5" thickBot="1">
      <c r="A38" s="509" t="s">
        <v>233</v>
      </c>
      <c r="B38" s="510"/>
      <c r="C38" s="510"/>
      <c r="D38" s="212">
        <f>D29+D36</f>
        <v>0</v>
      </c>
      <c r="E38" s="209"/>
      <c r="F38" s="232">
        <f>F29+F36</f>
        <v>0</v>
      </c>
    </row>
    <row r="39" spans="1:7" s="193" customFormat="1">
      <c r="A39" s="140"/>
      <c r="B39" s="112"/>
      <c r="C39" s="112"/>
      <c r="D39" s="210"/>
      <c r="E39" s="210"/>
      <c r="F39" s="233"/>
    </row>
    <row r="40" spans="1:7" s="133" customFormat="1" ht="13.5" thickBot="1">
      <c r="A40" s="194"/>
      <c r="B40" s="195"/>
      <c r="C40" s="196"/>
      <c r="D40" s="249"/>
      <c r="E40" s="211"/>
      <c r="F40" s="234"/>
    </row>
    <row r="41" spans="1:7" s="193" customFormat="1">
      <c r="A41" s="112"/>
      <c r="B41" s="112"/>
      <c r="C41" s="112"/>
      <c r="D41" s="112"/>
    </row>
    <row r="42" spans="1:7" s="193" customFormat="1">
      <c r="A42" s="112"/>
      <c r="B42" s="112"/>
      <c r="C42" s="112"/>
      <c r="D42" s="112"/>
    </row>
    <row r="43" spans="1:7" s="193" customFormat="1">
      <c r="A43" s="197"/>
      <c r="B43" s="157"/>
      <c r="C43" s="157"/>
      <c r="D43" s="157"/>
    </row>
    <row r="44" spans="1:7" s="193" customFormat="1">
      <c r="A44" s="197"/>
      <c r="B44" s="157"/>
      <c r="C44" s="157"/>
      <c r="D44" s="157"/>
    </row>
    <row r="45" spans="1:7" s="193" customFormat="1">
      <c r="A45" s="112"/>
      <c r="B45" s="112"/>
      <c r="C45" s="112"/>
      <c r="D45" s="112"/>
    </row>
    <row r="46" spans="1:7" s="193" customFormat="1">
      <c r="A46" s="112"/>
      <c r="B46" s="112"/>
      <c r="C46" s="112"/>
      <c r="D46" s="112"/>
      <c r="F46" s="156"/>
    </row>
    <row r="47" spans="1:7" s="193" customFormat="1">
      <c r="A47" s="112"/>
      <c r="B47" s="112"/>
      <c r="C47" s="112"/>
      <c r="D47" s="112"/>
      <c r="F47" s="198"/>
    </row>
    <row r="48" spans="1:7" s="193" customFormat="1">
      <c r="A48" s="112"/>
      <c r="B48" s="112"/>
      <c r="C48" s="112"/>
      <c r="D48" s="112"/>
      <c r="F48" s="199"/>
    </row>
    <row r="49" spans="1:7" s="193" customFormat="1">
      <c r="A49" s="112"/>
      <c r="B49" s="112"/>
      <c r="C49" s="112"/>
      <c r="D49" s="112"/>
      <c r="F49" s="199"/>
    </row>
    <row r="50" spans="1:7" s="193" customFormat="1">
      <c r="A50" s="199"/>
    </row>
    <row r="51" spans="1:7">
      <c r="G51" s="112"/>
    </row>
    <row r="52" spans="1:7">
      <c r="G52" s="112"/>
    </row>
    <row r="53" spans="1:7">
      <c r="G53" s="112"/>
    </row>
    <row r="54" spans="1:7">
      <c r="G54" s="112"/>
    </row>
    <row r="55" spans="1:7">
      <c r="G55" s="112"/>
    </row>
    <row r="56" spans="1:7">
      <c r="G56" s="112"/>
    </row>
    <row r="60" spans="1:7">
      <c r="F60" s="200"/>
    </row>
    <row r="62" spans="1:7">
      <c r="G62" s="165"/>
    </row>
    <row r="64" spans="1:7">
      <c r="G64" s="201"/>
    </row>
    <row r="66" spans="7:7">
      <c r="G66" s="165"/>
    </row>
    <row r="67" spans="7:7">
      <c r="G67" s="112"/>
    </row>
    <row r="68" spans="7:7">
      <c r="G68" s="112"/>
    </row>
    <row r="69" spans="7:7">
      <c r="G69" s="112"/>
    </row>
    <row r="70" spans="7:7">
      <c r="G70" s="112"/>
    </row>
    <row r="71" spans="7:7">
      <c r="G71" s="112"/>
    </row>
    <row r="72" spans="7:7">
      <c r="G72" s="112"/>
    </row>
    <row r="73" spans="7:7">
      <c r="G73" s="112"/>
    </row>
    <row r="77" spans="7:7">
      <c r="G77" s="202"/>
    </row>
    <row r="83" spans="6:6">
      <c r="F83" s="152"/>
    </row>
  </sheetData>
  <mergeCells count="18">
    <mergeCell ref="J3:K3"/>
    <mergeCell ref="L3:M3"/>
    <mergeCell ref="H4:I4"/>
    <mergeCell ref="A38:C38"/>
    <mergeCell ref="A1:D1"/>
    <mergeCell ref="D11:D12"/>
    <mergeCell ref="F11:F12"/>
    <mergeCell ref="E11:E12"/>
    <mergeCell ref="A27:C27"/>
    <mergeCell ref="A29:C29"/>
    <mergeCell ref="A36:C36"/>
    <mergeCell ref="B3:F3"/>
    <mergeCell ref="B4:F4"/>
    <mergeCell ref="B5:F5"/>
    <mergeCell ref="B6:F6"/>
    <mergeCell ref="B7:F7"/>
    <mergeCell ref="B8:F8"/>
    <mergeCell ref="B9:F9"/>
  </mergeCells>
  <conditionalFormatting sqref="E16:E20 E25 E32:E34">
    <cfRule type="cellIs" dxfId="1" priority="1" operator="lessThan">
      <formula>0</formula>
    </cfRule>
    <cfRule type="cellIs" dxfId="0" priority="2" operator="greaterThan">
      <formula>0.04</formula>
    </cfRule>
  </conditionalFormatting>
  <dataValidations count="1">
    <dataValidation type="decimal" errorStyle="warning" allowBlank="1" showInputMessage="1" showErrorMessage="1" errorTitle="Fehler" error="Ihr eingegebener Wert liegt nicht zwischen 0 und 4 %" promptTitle="Gewinn- und Wagniszuschlag" prompt="Bitte wählen Sie einen Wert zwischen 0 und 4% aus" sqref="E16:E20 E25 E32:E34" xr:uid="{00000000-0002-0000-0C00-000000000000}">
      <formula1>0</formula1>
      <formula2>0.04</formula2>
    </dataValidation>
  </dataValidations>
  <pageMargins left="0.25" right="0.25" top="0.75" bottom="0.75" header="0.3" footer="0.3"/>
  <pageSetup paperSize="9" fitToHeight="0" orientation="portrait" r:id="rId1"/>
  <headerFooter alignWithMargins="0">
    <oddFooter>&amp;C5a. Kostenblatt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pageSetUpPr fitToPage="1"/>
  </sheetPr>
  <dimension ref="A1:M54"/>
  <sheetViews>
    <sheetView zoomScale="81" zoomScaleNormal="140" workbookViewId="0">
      <selection activeCell="A7" sqref="A7:A8"/>
    </sheetView>
  </sheetViews>
  <sheetFormatPr baseColWidth="10" defaultRowHeight="15.75"/>
  <cols>
    <col min="1" max="2" width="11.875" customWidth="1"/>
    <col min="3" max="5" width="9.125" customWidth="1"/>
    <col min="6" max="9" width="8.625" customWidth="1"/>
    <col min="10" max="10" width="7.375" customWidth="1"/>
    <col min="11" max="16" width="7.625" customWidth="1"/>
  </cols>
  <sheetData>
    <row r="1" spans="1:11" ht="36" customHeight="1">
      <c r="A1" s="535" t="s">
        <v>432</v>
      </c>
      <c r="B1" s="536"/>
      <c r="C1" s="536"/>
      <c r="D1" s="536"/>
      <c r="E1" s="536"/>
      <c r="F1" s="536"/>
      <c r="G1" s="536"/>
      <c r="H1" s="536"/>
      <c r="I1" s="536"/>
    </row>
    <row r="3" spans="1:11" ht="33.950000000000003" customHeight="1">
      <c r="A3" s="473" t="s">
        <v>120</v>
      </c>
      <c r="B3" s="473"/>
      <c r="C3" s="539" t="s">
        <v>431</v>
      </c>
      <c r="D3" s="540"/>
      <c r="E3" s="540"/>
      <c r="F3" s="540"/>
      <c r="G3" s="540"/>
      <c r="H3" s="540"/>
      <c r="I3" s="541"/>
      <c r="J3" s="351"/>
      <c r="K3" s="351"/>
    </row>
    <row r="4" spans="1:11" ht="33.950000000000003" customHeight="1">
      <c r="A4" s="538" t="s">
        <v>121</v>
      </c>
      <c r="B4" s="538"/>
      <c r="C4" s="539" t="s">
        <v>430</v>
      </c>
      <c r="D4" s="540"/>
      <c r="E4" s="540"/>
      <c r="F4" s="540"/>
      <c r="G4" s="540"/>
      <c r="H4" s="540"/>
      <c r="I4" s="541"/>
      <c r="J4" s="351"/>
      <c r="K4" s="351"/>
    </row>
    <row r="5" spans="1:11">
      <c r="A5" s="2" t="s">
        <v>429</v>
      </c>
      <c r="B5" s="374">
        <v>0.5</v>
      </c>
      <c r="C5" s="537"/>
      <c r="D5" s="537"/>
      <c r="E5" s="537"/>
      <c r="F5" s="537"/>
      <c r="G5" s="537"/>
      <c r="H5" s="537"/>
      <c r="I5" s="537"/>
      <c r="J5" s="351"/>
      <c r="K5" s="351"/>
    </row>
    <row r="7" spans="1:11">
      <c r="A7" s="656" t="s">
        <v>497</v>
      </c>
      <c r="B7" s="618"/>
      <c r="C7" s="618"/>
      <c r="D7" s="618"/>
      <c r="E7" s="618"/>
      <c r="F7" s="618"/>
      <c r="G7" s="618"/>
      <c r="H7" s="618"/>
      <c r="I7" s="618"/>
    </row>
    <row r="8" spans="1:11" ht="23.25" customHeight="1">
      <c r="A8" s="657" t="s">
        <v>498</v>
      </c>
      <c r="B8" s="373"/>
    </row>
    <row r="9" spans="1:11">
      <c r="A9" s="372" t="s">
        <v>428</v>
      </c>
      <c r="B9" s="372" t="s">
        <v>427</v>
      </c>
      <c r="D9" s="531" t="s">
        <v>426</v>
      </c>
      <c r="E9" s="531"/>
      <c r="F9" s="531"/>
      <c r="G9" s="531"/>
      <c r="H9" s="531"/>
      <c r="I9" s="531"/>
    </row>
    <row r="10" spans="1:11">
      <c r="A10" s="362"/>
      <c r="B10" s="361"/>
      <c r="D10" s="5" t="s">
        <v>415</v>
      </c>
      <c r="E10" s="532" t="s">
        <v>425</v>
      </c>
      <c r="F10" s="533"/>
      <c r="G10" s="533"/>
      <c r="H10" s="533"/>
      <c r="I10" s="534"/>
    </row>
    <row r="11" spans="1:11">
      <c r="A11" s="362"/>
      <c r="B11" s="361"/>
      <c r="D11" s="5" t="s">
        <v>414</v>
      </c>
      <c r="E11" s="532" t="s">
        <v>424</v>
      </c>
      <c r="F11" s="533"/>
      <c r="G11" s="533"/>
      <c r="H11" s="533"/>
      <c r="I11" s="534"/>
    </row>
    <row r="12" spans="1:11">
      <c r="A12" s="362"/>
      <c r="B12" s="361"/>
      <c r="D12" s="5" t="s">
        <v>413</v>
      </c>
      <c r="E12" s="532" t="s">
        <v>423</v>
      </c>
      <c r="F12" s="533"/>
      <c r="G12" s="533"/>
      <c r="H12" s="533"/>
      <c r="I12" s="534"/>
    </row>
    <row r="13" spans="1:11">
      <c r="A13" s="362"/>
      <c r="B13" s="361"/>
      <c r="D13" s="5" t="s">
        <v>412</v>
      </c>
      <c r="E13" s="532" t="s">
        <v>422</v>
      </c>
      <c r="F13" s="533"/>
      <c r="G13" s="533"/>
      <c r="H13" s="533"/>
      <c r="I13" s="534"/>
    </row>
    <row r="14" spans="1:11">
      <c r="A14" s="362"/>
      <c r="B14" s="361"/>
      <c r="D14" s="5" t="s">
        <v>411</v>
      </c>
      <c r="E14" s="532" t="s">
        <v>421</v>
      </c>
      <c r="F14" s="533"/>
      <c r="G14" s="533"/>
      <c r="H14" s="533"/>
      <c r="I14" s="534"/>
    </row>
    <row r="15" spans="1:11">
      <c r="A15" s="362"/>
      <c r="B15" s="361"/>
    </row>
    <row r="16" spans="1:11" ht="15.95" customHeight="1">
      <c r="A16" s="362"/>
      <c r="B16" s="361"/>
      <c r="D16" s="619"/>
      <c r="E16" s="620"/>
      <c r="F16" s="620"/>
      <c r="G16" s="620"/>
      <c r="H16" s="620"/>
      <c r="I16" s="621"/>
    </row>
    <row r="17" spans="1:13" ht="31.5">
      <c r="A17" s="362"/>
      <c r="B17" s="361"/>
      <c r="D17" s="371"/>
      <c r="E17" s="370"/>
      <c r="F17" s="368" t="s">
        <v>420</v>
      </c>
      <c r="G17" s="368" t="s">
        <v>419</v>
      </c>
      <c r="H17" s="369" t="s">
        <v>92</v>
      </c>
      <c r="I17" s="368" t="s">
        <v>418</v>
      </c>
    </row>
    <row r="18" spans="1:13">
      <c r="A18" s="362"/>
      <c r="B18" s="361"/>
      <c r="D18" s="526"/>
      <c r="E18" s="367" t="s">
        <v>417</v>
      </c>
      <c r="F18" s="431" t="str">
        <f>IFERROR('5. Gesamt'!J51,"")</f>
        <v/>
      </c>
      <c r="G18" s="349" t="s">
        <v>35</v>
      </c>
      <c r="H18" s="432">
        <f>IFERROR('5. Gesamt'!D51,"")</f>
        <v>0</v>
      </c>
      <c r="I18" s="366">
        <f>IFERROR(H18*100/$H$23,0)</f>
        <v>0</v>
      </c>
      <c r="M18" s="22"/>
    </row>
    <row r="19" spans="1:13">
      <c r="A19" s="362"/>
      <c r="B19" s="361"/>
      <c r="D19" s="527"/>
      <c r="E19" s="367" t="s">
        <v>417</v>
      </c>
      <c r="F19" s="431" t="str">
        <f>IFERROR('5. Gesamt'!J52,"")</f>
        <v/>
      </c>
      <c r="G19" s="349" t="s">
        <v>36</v>
      </c>
      <c r="H19" s="432">
        <f>IFERROR('5. Gesamt'!D52,"")</f>
        <v>0</v>
      </c>
      <c r="I19" s="366">
        <f>IFERROR(H19*100/$H$23,0)</f>
        <v>0</v>
      </c>
    </row>
    <row r="20" spans="1:13">
      <c r="A20" s="362"/>
      <c r="B20" s="361"/>
      <c r="D20" s="527"/>
      <c r="E20" s="367" t="s">
        <v>417</v>
      </c>
      <c r="F20" s="431" t="str">
        <f>IFERROR('5. Gesamt'!J53,"")</f>
        <v/>
      </c>
      <c r="G20" s="349" t="s">
        <v>0</v>
      </c>
      <c r="H20" s="432">
        <f>IFERROR('5. Gesamt'!D53,"")</f>
        <v>0</v>
      </c>
      <c r="I20" s="366">
        <f>IFERROR(H20*100/$H$23,0)</f>
        <v>0</v>
      </c>
    </row>
    <row r="21" spans="1:13">
      <c r="A21" s="362"/>
      <c r="B21" s="361"/>
      <c r="D21" s="527"/>
      <c r="E21" s="367" t="s">
        <v>417</v>
      </c>
      <c r="F21" s="431" t="str">
        <f>IFERROR('5. Gesamt'!J54,"")</f>
        <v/>
      </c>
      <c r="G21" s="349" t="s">
        <v>1</v>
      </c>
      <c r="H21" s="432">
        <f>IFERROR('5. Gesamt'!D54,"")</f>
        <v>0</v>
      </c>
      <c r="I21" s="366">
        <f>IFERROR(H21*100/$H$23,0)</f>
        <v>0</v>
      </c>
    </row>
    <row r="22" spans="1:13">
      <c r="A22" s="362"/>
      <c r="B22" s="361"/>
      <c r="D22" s="527"/>
      <c r="E22" s="367" t="s">
        <v>417</v>
      </c>
      <c r="F22" s="431" t="str">
        <f>IFERROR('5. Gesamt'!J55,"")</f>
        <v/>
      </c>
      <c r="G22" s="349" t="s">
        <v>2</v>
      </c>
      <c r="H22" s="432">
        <f>IFERROR('5. Gesamt'!D55,"")</f>
        <v>0</v>
      </c>
      <c r="I22" s="366">
        <f>IFERROR(H22*100/$H$23,0)</f>
        <v>0</v>
      </c>
    </row>
    <row r="23" spans="1:13">
      <c r="A23" s="362"/>
      <c r="B23" s="361"/>
      <c r="D23" s="528"/>
      <c r="E23" s="4"/>
      <c r="F23" s="4"/>
      <c r="G23" s="4"/>
      <c r="H23" s="363">
        <f>SUM(H18:H22)</f>
        <v>0</v>
      </c>
      <c r="I23" s="363">
        <f>SUM(I18:I22)</f>
        <v>0</v>
      </c>
    </row>
    <row r="24" spans="1:13">
      <c r="A24" s="362"/>
      <c r="B24" s="361"/>
      <c r="D24" s="637"/>
      <c r="E24" s="637"/>
      <c r="F24" s="637"/>
      <c r="G24" s="637"/>
      <c r="H24" s="637"/>
      <c r="I24" s="637"/>
    </row>
    <row r="25" spans="1:13">
      <c r="A25" s="362"/>
      <c r="B25" s="361"/>
      <c r="D25" s="530"/>
      <c r="E25" s="530"/>
      <c r="F25" s="530"/>
      <c r="G25" s="530"/>
      <c r="H25" s="530"/>
      <c r="I25" s="530"/>
    </row>
    <row r="26" spans="1:13">
      <c r="A26" s="362"/>
      <c r="B26" s="361"/>
      <c r="D26" s="529"/>
      <c r="E26" s="529"/>
      <c r="F26" s="529"/>
      <c r="G26" s="529"/>
      <c r="H26" s="529"/>
      <c r="I26" s="529"/>
    </row>
    <row r="27" spans="1:13">
      <c r="A27" s="362"/>
      <c r="B27" s="361"/>
      <c r="D27" s="4"/>
      <c r="E27" s="365" t="s">
        <v>35</v>
      </c>
      <c r="F27" s="365" t="s">
        <v>36</v>
      </c>
      <c r="G27" s="365" t="s">
        <v>0</v>
      </c>
      <c r="H27" s="365" t="s">
        <v>1</v>
      </c>
      <c r="I27" s="365" t="s">
        <v>2</v>
      </c>
    </row>
    <row r="28" spans="1:13">
      <c r="A28" s="362"/>
      <c r="B28" s="361"/>
      <c r="D28" s="364" t="s">
        <v>415</v>
      </c>
      <c r="E28" s="11">
        <f>IFERROR(G40/60*$F$18*2*$I$18%*$B$5,0)</f>
        <v>0</v>
      </c>
      <c r="F28" s="11">
        <f>IFERROR(G40/60*$F$19*2*$I$19%*$B$5,0)</f>
        <v>0</v>
      </c>
      <c r="G28" s="11">
        <f>IFERROR(G40/60*$F$20*2*$I$20%*$B$5,0)</f>
        <v>0</v>
      </c>
      <c r="H28" s="11">
        <f>IFERROR(G40/60*$F$21*2*$I$21%*$B$5,0)</f>
        <v>0</v>
      </c>
      <c r="I28" s="11">
        <f>IFERROR(G40/60*$F$22*2*$I$22%*$B$5,0)</f>
        <v>0</v>
      </c>
    </row>
    <row r="29" spans="1:13">
      <c r="A29" s="362"/>
      <c r="B29" s="361"/>
      <c r="D29" s="364" t="s">
        <v>414</v>
      </c>
      <c r="E29" s="11">
        <f>IFERROR(G41/60*$F$18*2*$I$18%*$B$5,0)</f>
        <v>0</v>
      </c>
      <c r="F29" s="11">
        <f>IFERROR(G41/60*$F$19*2*$I$19%*$B$5,0)</f>
        <v>0</v>
      </c>
      <c r="G29" s="11">
        <f>IFERROR(G41/60*$F$20*2*$I$20%*$B$5,0)</f>
        <v>0</v>
      </c>
      <c r="H29" s="11">
        <f>IFERROR(G41/60*$F$21*2*$I$21%*$B$5,0)</f>
        <v>0</v>
      </c>
      <c r="I29" s="11">
        <f>IFERROR(G41/60*$F$22*2*$I$22%*$B$5,0)</f>
        <v>0</v>
      </c>
    </row>
    <row r="30" spans="1:13" ht="51" customHeight="1">
      <c r="A30" s="362"/>
      <c r="B30" s="361"/>
      <c r="D30" s="364" t="s">
        <v>413</v>
      </c>
      <c r="E30" s="11">
        <f>IFERROR(G42/60*$F$18*2*$I$18%*$B$5,0)</f>
        <v>0</v>
      </c>
      <c r="F30" s="11">
        <f>IFERROR(G42/60*$F$19*2*$I$19%*$B$5,0)</f>
        <v>0</v>
      </c>
      <c r="G30" s="11">
        <f>IFERROR(G42/60*$F$20*2*$I$20%*$B$5,0)</f>
        <v>0</v>
      </c>
      <c r="H30" s="11">
        <f>IFERROR(G42/60*$F$21*2*$I$21%*$B$5,0)</f>
        <v>0</v>
      </c>
      <c r="I30" s="11">
        <f>IFERROR(G42/60*$F$22*2*$I$22%*$B$5,0)</f>
        <v>0</v>
      </c>
    </row>
    <row r="31" spans="1:13">
      <c r="A31" s="362"/>
      <c r="B31" s="361"/>
      <c r="D31" s="364" t="s">
        <v>412</v>
      </c>
      <c r="E31" s="11">
        <f>IFERROR(G43/60*$F$18*2*$I$18%*$B$5,0)</f>
        <v>0</v>
      </c>
      <c r="F31" s="11">
        <f>IFERROR(G43/60*$F$19*2*$I$19%*$B$5,0)</f>
        <v>0</v>
      </c>
      <c r="G31" s="11">
        <f>IFERROR(G43/60*$F$20*2*$I$20%*$B$5,0)</f>
        <v>0</v>
      </c>
      <c r="H31" s="11">
        <f>IFERROR(G43/60*$F$21*2*$I$21%*$B$5,0)</f>
        <v>0</v>
      </c>
      <c r="I31" s="11">
        <f>IFERROR(G43/60*$F$22*2*$I$22%*$B$5,0)</f>
        <v>0</v>
      </c>
    </row>
    <row r="32" spans="1:13">
      <c r="A32" s="362"/>
      <c r="B32" s="361"/>
      <c r="D32" s="364" t="s">
        <v>411</v>
      </c>
      <c r="E32" s="11">
        <f>IFERROR(G44/60*$F$18*2*$I$18%*$B$5,0)</f>
        <v>0</v>
      </c>
      <c r="F32" s="11">
        <f>IFERROR(G44/60*$F$19*2*$I$19%*$B$5,0)</f>
        <v>0</v>
      </c>
      <c r="G32" s="11">
        <f>IFERROR(G44/60*$F$20*2*$I$20%*$B$5,0)</f>
        <v>0</v>
      </c>
      <c r="H32" s="11">
        <f>IFERROR(G44/60*$F$21*2*$I$21%*$B$5,0)</f>
        <v>0</v>
      </c>
      <c r="I32" s="11">
        <f>IFERROR(G44/60*$F$22*2*$I$22%*$B$5,0)</f>
        <v>0</v>
      </c>
    </row>
    <row r="33" spans="1:9">
      <c r="A33" s="362"/>
      <c r="B33" s="361"/>
      <c r="D33" s="364" t="s">
        <v>15</v>
      </c>
      <c r="E33" s="634">
        <f>SUM(E28:I32)</f>
        <v>0</v>
      </c>
      <c r="F33" s="635"/>
      <c r="G33" s="635"/>
      <c r="H33" s="635"/>
      <c r="I33" s="636"/>
    </row>
    <row r="34" spans="1:9">
      <c r="A34" s="362"/>
      <c r="B34" s="361"/>
      <c r="D34" s="526"/>
      <c r="E34" s="622" t="str">
        <f>"/ "&amp;F45&amp;" Klienten ="</f>
        <v>/ 0 Klienten =</v>
      </c>
      <c r="F34" s="623"/>
      <c r="G34" s="623"/>
      <c r="H34" s="623"/>
      <c r="I34" s="624"/>
    </row>
    <row r="35" spans="1:9" ht="21">
      <c r="A35" s="362"/>
      <c r="B35" s="361"/>
      <c r="D35" s="528"/>
      <c r="E35" s="625">
        <f>IFERROR(ROUND(E33/F45,2)&amp;" EUR je Einsatz",0)</f>
        <v>0</v>
      </c>
      <c r="F35" s="626"/>
      <c r="G35" s="626"/>
      <c r="H35" s="626"/>
      <c r="I35" s="627"/>
    </row>
    <row r="36" spans="1:9">
      <c r="A36" s="362"/>
      <c r="B36" s="361"/>
    </row>
    <row r="37" spans="1:9">
      <c r="A37" s="362"/>
      <c r="B37" s="361"/>
    </row>
    <row r="38" spans="1:9">
      <c r="A38" s="362"/>
      <c r="B38" s="361"/>
    </row>
    <row r="39" spans="1:9">
      <c r="A39" s="362"/>
      <c r="B39" s="361"/>
      <c r="D39" s="524" t="s">
        <v>416</v>
      </c>
      <c r="E39" s="525"/>
      <c r="F39" s="5" t="s">
        <v>31</v>
      </c>
      <c r="G39" s="5" t="s">
        <v>15</v>
      </c>
      <c r="H39" s="628"/>
      <c r="I39" s="629"/>
    </row>
    <row r="40" spans="1:9">
      <c r="A40" s="362"/>
      <c r="B40" s="361"/>
      <c r="D40" s="2" t="s">
        <v>415</v>
      </c>
      <c r="E40" s="49">
        <v>2.5</v>
      </c>
      <c r="F40" s="2">
        <f>COUNTIF($B$10:$B$54,D40)</f>
        <v>0</v>
      </c>
      <c r="G40" s="2">
        <f>E40*F40</f>
        <v>0</v>
      </c>
      <c r="H40" s="630"/>
      <c r="I40" s="631"/>
    </row>
    <row r="41" spans="1:9">
      <c r="A41" s="362"/>
      <c r="B41" s="361"/>
      <c r="D41" s="2" t="s">
        <v>414</v>
      </c>
      <c r="E41" s="49">
        <v>7.5</v>
      </c>
      <c r="F41" s="2">
        <f>COUNTIF($B$10:$B$54,D41)</f>
        <v>0</v>
      </c>
      <c r="G41" s="2">
        <f>E41*F41</f>
        <v>0</v>
      </c>
      <c r="H41" s="630"/>
      <c r="I41" s="631"/>
    </row>
    <row r="42" spans="1:9">
      <c r="A42" s="362"/>
      <c r="B42" s="361"/>
      <c r="D42" s="2" t="s">
        <v>413</v>
      </c>
      <c r="E42" s="49">
        <v>12.5</v>
      </c>
      <c r="F42" s="2">
        <f>COUNTIF($B$10:$B$54,D42)</f>
        <v>0</v>
      </c>
      <c r="G42" s="2">
        <f>E42*F42</f>
        <v>0</v>
      </c>
      <c r="H42" s="630"/>
      <c r="I42" s="631"/>
    </row>
    <row r="43" spans="1:9">
      <c r="A43" s="362"/>
      <c r="B43" s="361"/>
      <c r="D43" s="2" t="s">
        <v>412</v>
      </c>
      <c r="E43" s="49">
        <v>17.5</v>
      </c>
      <c r="F43" s="2">
        <f>COUNTIF($B$10:$B$54,D43)</f>
        <v>0</v>
      </c>
      <c r="G43" s="2">
        <f>E43*F43</f>
        <v>0</v>
      </c>
      <c r="H43" s="630"/>
      <c r="I43" s="631"/>
    </row>
    <row r="44" spans="1:9">
      <c r="A44" s="362"/>
      <c r="B44" s="361"/>
      <c r="D44" s="2" t="s">
        <v>411</v>
      </c>
      <c r="E44" s="49">
        <v>22.5</v>
      </c>
      <c r="F44" s="2">
        <f>COUNTIF($B$10:$B$54,D44)</f>
        <v>0</v>
      </c>
      <c r="G44" s="2">
        <f>E44*F44</f>
        <v>0</v>
      </c>
      <c r="H44" s="630"/>
      <c r="I44" s="631"/>
    </row>
    <row r="45" spans="1:9">
      <c r="A45" s="362"/>
      <c r="B45" s="361"/>
      <c r="D45" s="588"/>
      <c r="E45" s="590"/>
      <c r="F45" s="363">
        <f>SUM(F40:F44)</f>
        <v>0</v>
      </c>
      <c r="G45" s="363"/>
      <c r="H45" s="632"/>
      <c r="I45" s="633"/>
    </row>
    <row r="46" spans="1:9">
      <c r="A46" s="362"/>
      <c r="B46" s="361"/>
    </row>
    <row r="47" spans="1:9">
      <c r="A47" s="362"/>
      <c r="B47" s="361"/>
    </row>
    <row r="48" spans="1:9">
      <c r="A48" s="362"/>
      <c r="B48" s="361"/>
    </row>
    <row r="49" spans="1:2">
      <c r="A49" s="362"/>
      <c r="B49" s="361"/>
    </row>
    <row r="50" spans="1:2">
      <c r="A50" s="362"/>
      <c r="B50" s="361"/>
    </row>
    <row r="51" spans="1:2">
      <c r="A51" s="362"/>
      <c r="B51" s="361"/>
    </row>
    <row r="52" spans="1:2">
      <c r="A52" s="362"/>
      <c r="B52" s="361"/>
    </row>
    <row r="53" spans="1:2">
      <c r="A53" s="362"/>
      <c r="B53" s="361"/>
    </row>
    <row r="54" spans="1:2">
      <c r="A54" s="362"/>
      <c r="B54" s="361"/>
    </row>
  </sheetData>
  <mergeCells count="17">
    <mergeCell ref="D9:I9"/>
    <mergeCell ref="E14:I14"/>
    <mergeCell ref="A1:I1"/>
    <mergeCell ref="E10:I10"/>
    <mergeCell ref="E11:I11"/>
    <mergeCell ref="E12:I12"/>
    <mergeCell ref="E13:I13"/>
    <mergeCell ref="C5:I5"/>
    <mergeCell ref="A3:B3"/>
    <mergeCell ref="A4:B4"/>
    <mergeCell ref="C3:I3"/>
    <mergeCell ref="C4:I4"/>
    <mergeCell ref="D39:E39"/>
    <mergeCell ref="D18:D23"/>
    <mergeCell ref="D34:D35"/>
    <mergeCell ref="D26:I26"/>
    <mergeCell ref="D25:I25"/>
  </mergeCells>
  <dataValidations count="1">
    <dataValidation type="list" allowBlank="1" showInputMessage="1" showErrorMessage="1" sqref="B10:B54" xr:uid="{00000000-0002-0000-0D00-000000000000}">
      <formula1>$D$40:$D$44</formula1>
    </dataValidation>
  </dataValidations>
  <pageMargins left="0.7" right="0.7" top="0.78740157499999996" bottom="0.78740157499999996" header="0.3" footer="0.3"/>
  <pageSetup paperSize="9" scale="95" fitToHeight="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33"/>
  <sheetViews>
    <sheetView workbookViewId="0"/>
  </sheetViews>
  <sheetFormatPr baseColWidth="10" defaultRowHeight="15.75"/>
  <cols>
    <col min="1" max="1" width="21.875" bestFit="1" customWidth="1"/>
    <col min="5" max="5" width="14.125" customWidth="1"/>
    <col min="7" max="7" width="18" customWidth="1"/>
    <col min="8" max="8" width="19.25" customWidth="1"/>
  </cols>
  <sheetData>
    <row r="2" spans="1:8" ht="16.5" thickBot="1"/>
    <row r="3" spans="1:8">
      <c r="A3" s="546" t="s">
        <v>462</v>
      </c>
      <c r="B3" s="547"/>
    </row>
    <row r="4" spans="1:8">
      <c r="A4" s="414" t="s">
        <v>188</v>
      </c>
      <c r="B4" s="415">
        <f>'5a. Kostenblatt'!C22</f>
        <v>0</v>
      </c>
    </row>
    <row r="5" spans="1:8">
      <c r="A5" s="414" t="s">
        <v>35</v>
      </c>
      <c r="B5" s="416">
        <f>'5a. Kostenblatt'!C16</f>
        <v>0</v>
      </c>
    </row>
    <row r="6" spans="1:8">
      <c r="A6" s="414" t="s">
        <v>36</v>
      </c>
      <c r="B6" s="416">
        <f>'5a. Kostenblatt'!C17</f>
        <v>0</v>
      </c>
    </row>
    <row r="7" spans="1:8">
      <c r="A7" s="414" t="s">
        <v>0</v>
      </c>
      <c r="B7" s="416">
        <f>'5a. Kostenblatt'!C18</f>
        <v>0</v>
      </c>
    </row>
    <row r="8" spans="1:8" ht="16.5" thickBot="1">
      <c r="A8" s="420" t="s">
        <v>1</v>
      </c>
      <c r="B8" s="421">
        <f>'5a. Kostenblatt'!C19</f>
        <v>0</v>
      </c>
    </row>
    <row r="9" spans="1:8" ht="16.5" thickBot="1">
      <c r="A9" s="422" t="s">
        <v>2</v>
      </c>
      <c r="B9" s="423">
        <f>'5a. Kostenblatt'!C20</f>
        <v>0</v>
      </c>
    </row>
    <row r="10" spans="1:8" ht="16.5" thickBot="1"/>
    <row r="11" spans="1:8" ht="37.5" customHeight="1">
      <c r="A11" s="542" t="str">
        <f>"Basisleistung "&amp;'5. Gesamt'!B16</f>
        <v>Basisleistung Bitte auswählen, wenn zutreffend oder eingeben.</v>
      </c>
      <c r="B11" s="543"/>
      <c r="C11" s="40"/>
      <c r="D11" s="542" t="str">
        <f>"Basisleistung "&amp;'5. Gesamt'!F16</f>
        <v>Basisleistung Bitte auswählen, wenn zutreffend oder eingeben.</v>
      </c>
      <c r="E11" s="543"/>
      <c r="F11" s="40"/>
      <c r="G11" s="542" t="str">
        <f>"Basisleistung "&amp;'5. Gesamt'!J16</f>
        <v>Basisleistung Bitte auswählen, wenn zutreffend oder eingeben.</v>
      </c>
      <c r="H11" s="543"/>
    </row>
    <row r="12" spans="1:8">
      <c r="A12" s="417" t="s">
        <v>35</v>
      </c>
      <c r="B12" s="418">
        <f>'5. Gesamt'!D21</f>
        <v>0</v>
      </c>
      <c r="C12" s="40"/>
      <c r="D12" s="417" t="s">
        <v>35</v>
      </c>
      <c r="E12" s="419">
        <f>'5. Gesamt'!H21</f>
        <v>0</v>
      </c>
      <c r="F12" s="40"/>
      <c r="G12" s="417" t="s">
        <v>35</v>
      </c>
      <c r="H12" s="419">
        <f>'5. Gesamt'!L21</f>
        <v>0</v>
      </c>
    </row>
    <row r="13" spans="1:8">
      <c r="A13" s="417" t="s">
        <v>36</v>
      </c>
      <c r="B13" s="418">
        <f>'5. Gesamt'!D22</f>
        <v>0</v>
      </c>
      <c r="C13" s="40"/>
      <c r="D13" s="417" t="s">
        <v>36</v>
      </c>
      <c r="E13" s="419">
        <f>'5. Gesamt'!H22</f>
        <v>0</v>
      </c>
      <c r="F13" s="40"/>
      <c r="G13" s="417" t="s">
        <v>36</v>
      </c>
      <c r="H13" s="419">
        <f>'5. Gesamt'!L22</f>
        <v>0</v>
      </c>
    </row>
    <row r="14" spans="1:8">
      <c r="A14" s="417" t="s">
        <v>0</v>
      </c>
      <c r="B14" s="418">
        <f>'5. Gesamt'!D23</f>
        <v>0</v>
      </c>
      <c r="C14" s="40"/>
      <c r="D14" s="417" t="s">
        <v>0</v>
      </c>
      <c r="E14" s="419">
        <f>'5. Gesamt'!H23</f>
        <v>0</v>
      </c>
      <c r="F14" s="40"/>
      <c r="G14" s="417" t="s">
        <v>0</v>
      </c>
      <c r="H14" s="419">
        <f>'5. Gesamt'!L23</f>
        <v>0</v>
      </c>
    </row>
    <row r="15" spans="1:8">
      <c r="A15" s="417" t="s">
        <v>1</v>
      </c>
      <c r="B15" s="418">
        <f>'5. Gesamt'!D24</f>
        <v>0</v>
      </c>
      <c r="C15" s="40"/>
      <c r="D15" s="417" t="s">
        <v>1</v>
      </c>
      <c r="E15" s="419">
        <f>'5. Gesamt'!H24</f>
        <v>0</v>
      </c>
      <c r="F15" s="40"/>
      <c r="G15" s="417" t="s">
        <v>1</v>
      </c>
      <c r="H15" s="419">
        <f>'5. Gesamt'!L24</f>
        <v>0</v>
      </c>
    </row>
    <row r="16" spans="1:8" ht="16.5" thickBot="1">
      <c r="A16" s="424" t="s">
        <v>2</v>
      </c>
      <c r="B16" s="425">
        <f>'5. Gesamt'!D25</f>
        <v>0</v>
      </c>
      <c r="C16" s="40"/>
      <c r="D16" s="424" t="s">
        <v>2</v>
      </c>
      <c r="E16" s="428">
        <f>'5. Gesamt'!H25</f>
        <v>0</v>
      </c>
      <c r="F16" s="40"/>
      <c r="G16" s="424" t="s">
        <v>2</v>
      </c>
      <c r="H16" s="428">
        <f>'5. Gesamt'!L25</f>
        <v>0</v>
      </c>
    </row>
    <row r="17" spans="1:8" ht="16.5" thickBot="1">
      <c r="A17" s="426" t="s">
        <v>188</v>
      </c>
      <c r="B17" s="427">
        <f>'5. Gesamt'!D26</f>
        <v>0</v>
      </c>
      <c r="C17" s="40"/>
      <c r="D17" s="426" t="s">
        <v>188</v>
      </c>
      <c r="E17" s="429">
        <f>'5. Gesamt'!H26</f>
        <v>0</v>
      </c>
      <c r="F17" s="40"/>
      <c r="G17" s="426" t="s">
        <v>188</v>
      </c>
      <c r="H17" s="429">
        <f>'5. Gesamt'!L26</f>
        <v>0</v>
      </c>
    </row>
    <row r="18" spans="1:8" ht="16.5" thickBot="1">
      <c r="A18" s="40"/>
      <c r="B18" s="40"/>
      <c r="C18" s="40"/>
      <c r="D18" s="40"/>
      <c r="E18" s="40"/>
      <c r="F18" s="40"/>
      <c r="G18" s="40"/>
      <c r="H18" s="40"/>
    </row>
    <row r="19" spans="1:8" ht="50.25" customHeight="1">
      <c r="A19" s="542" t="str">
        <f>"Basisleistung "&amp;'5. Gesamt'!B30</f>
        <v>Basisleistung Bitte auswählen, wenn zutreffend oder eingeben.</v>
      </c>
      <c r="B19" s="543"/>
      <c r="C19" s="40"/>
      <c r="D19" s="542" t="str">
        <f>"Basisleistung "&amp;'5. Gesamt'!F30</f>
        <v>Basisleistung Bitte auswählen, wenn zutreffend oder eingeben.</v>
      </c>
      <c r="E19" s="543"/>
      <c r="F19" s="40"/>
      <c r="G19" s="542" t="str">
        <f>"Basisleistung "&amp;'5. Gesamt'!J30</f>
        <v>Basisleistung Bitte auswählen, wenn zutreffend oder eingeben.</v>
      </c>
      <c r="H19" s="543"/>
    </row>
    <row r="20" spans="1:8">
      <c r="A20" s="414" t="s">
        <v>35</v>
      </c>
      <c r="B20" s="416">
        <f>'5. Gesamt'!D35</f>
        <v>0</v>
      </c>
      <c r="D20" s="414" t="s">
        <v>35</v>
      </c>
      <c r="E20" s="416">
        <f>'5. Gesamt'!H35</f>
        <v>0</v>
      </c>
      <c r="G20" s="414" t="s">
        <v>35</v>
      </c>
      <c r="H20" s="416">
        <f>'5. Gesamt'!L35</f>
        <v>0</v>
      </c>
    </row>
    <row r="21" spans="1:8">
      <c r="A21" s="414" t="s">
        <v>36</v>
      </c>
      <c r="B21" s="416">
        <f>'5. Gesamt'!D36</f>
        <v>0</v>
      </c>
      <c r="D21" s="414" t="s">
        <v>36</v>
      </c>
      <c r="E21" s="416">
        <f>'5. Gesamt'!H36</f>
        <v>0</v>
      </c>
      <c r="G21" s="414" t="s">
        <v>36</v>
      </c>
      <c r="H21" s="416">
        <f>'5. Gesamt'!L36</f>
        <v>0</v>
      </c>
    </row>
    <row r="22" spans="1:8">
      <c r="A22" s="414" t="s">
        <v>0</v>
      </c>
      <c r="B22" s="416">
        <f>'5. Gesamt'!D37</f>
        <v>0</v>
      </c>
      <c r="D22" s="414" t="s">
        <v>0</v>
      </c>
      <c r="E22" s="416">
        <f>'5. Gesamt'!H37</f>
        <v>0</v>
      </c>
      <c r="G22" s="414" t="s">
        <v>0</v>
      </c>
      <c r="H22" s="416">
        <f>'5. Gesamt'!L37</f>
        <v>0</v>
      </c>
    </row>
    <row r="23" spans="1:8">
      <c r="A23" s="414" t="s">
        <v>1</v>
      </c>
      <c r="B23" s="416">
        <f>'5. Gesamt'!D38</f>
        <v>0</v>
      </c>
      <c r="D23" s="414" t="s">
        <v>1</v>
      </c>
      <c r="E23" s="416">
        <f>'5. Gesamt'!H38</f>
        <v>0</v>
      </c>
      <c r="G23" s="414" t="s">
        <v>1</v>
      </c>
      <c r="H23" s="416">
        <f>'5. Gesamt'!L38</f>
        <v>0</v>
      </c>
    </row>
    <row r="24" spans="1:8" ht="16.5" thickBot="1">
      <c r="A24" s="420" t="s">
        <v>2</v>
      </c>
      <c r="B24" s="421">
        <f>'5. Gesamt'!D39</f>
        <v>0</v>
      </c>
      <c r="D24" s="420" t="s">
        <v>2</v>
      </c>
      <c r="E24" s="421">
        <f>'5. Gesamt'!H39</f>
        <v>0</v>
      </c>
      <c r="G24" s="420" t="s">
        <v>2</v>
      </c>
      <c r="H24" s="421">
        <f>'5. Gesamt'!L39</f>
        <v>0</v>
      </c>
    </row>
    <row r="25" spans="1:8" ht="16.5" thickBot="1">
      <c r="A25" s="422" t="s">
        <v>188</v>
      </c>
      <c r="B25" s="423">
        <f>'5. Gesamt'!D40</f>
        <v>0</v>
      </c>
      <c r="D25" s="422" t="s">
        <v>188</v>
      </c>
      <c r="E25" s="423">
        <f>'5. Gesamt'!H40</f>
        <v>0</v>
      </c>
      <c r="G25" s="422" t="s">
        <v>188</v>
      </c>
      <c r="H25" s="423">
        <f>'5. Gesamt'!L40</f>
        <v>0</v>
      </c>
    </row>
    <row r="26" spans="1:8" ht="16.5" thickBot="1"/>
    <row r="27" spans="1:8" ht="51.75" customHeight="1">
      <c r="A27" s="544">
        <f>'5. Gesamt'!B44</f>
        <v>0</v>
      </c>
      <c r="B27" s="545"/>
    </row>
    <row r="28" spans="1:8">
      <c r="A28" s="414" t="s">
        <v>35</v>
      </c>
      <c r="B28" s="416">
        <f>'5. Gesamt'!D51</f>
        <v>0</v>
      </c>
    </row>
    <row r="29" spans="1:8">
      <c r="A29" s="414" t="s">
        <v>36</v>
      </c>
      <c r="B29" s="416">
        <f>'5. Gesamt'!D52</f>
        <v>0</v>
      </c>
    </row>
    <row r="30" spans="1:8">
      <c r="A30" s="414" t="s">
        <v>0</v>
      </c>
      <c r="B30" s="416">
        <f>'5. Gesamt'!D53</f>
        <v>0</v>
      </c>
    </row>
    <row r="31" spans="1:8">
      <c r="A31" s="414" t="s">
        <v>1</v>
      </c>
      <c r="B31" s="416">
        <f>'5. Gesamt'!D54</f>
        <v>0</v>
      </c>
    </row>
    <row r="32" spans="1:8" ht="16.5" thickBot="1">
      <c r="A32" s="420" t="s">
        <v>2</v>
      </c>
      <c r="B32" s="421">
        <f>'5. Gesamt'!D55</f>
        <v>0</v>
      </c>
    </row>
    <row r="33" spans="1:2" ht="16.5" thickBot="1">
      <c r="A33" s="422" t="s">
        <v>188</v>
      </c>
      <c r="B33" s="423">
        <f>'5. Gesamt'!D56</f>
        <v>0</v>
      </c>
    </row>
  </sheetData>
  <mergeCells count="8">
    <mergeCell ref="G11:H11"/>
    <mergeCell ref="D19:E19"/>
    <mergeCell ref="G19:H19"/>
    <mergeCell ref="A27:B27"/>
    <mergeCell ref="A3:B3"/>
    <mergeCell ref="A19:B19"/>
    <mergeCell ref="A11:B11"/>
    <mergeCell ref="D11:E1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34"/>
  <sheetViews>
    <sheetView zoomScale="78" zoomScaleNormal="78" workbookViewId="0">
      <selection activeCell="Q1" sqref="Q1"/>
    </sheetView>
  </sheetViews>
  <sheetFormatPr baseColWidth="10" defaultRowHeight="15.75"/>
  <cols>
    <col min="1" max="1" width="60.375" bestFit="1" customWidth="1"/>
    <col min="5" max="5" width="15.375" bestFit="1" customWidth="1"/>
    <col min="7" max="7" width="40.625" customWidth="1"/>
    <col min="13" max="13" width="16" bestFit="1" customWidth="1"/>
    <col min="14" max="14" width="29.25" bestFit="1" customWidth="1"/>
  </cols>
  <sheetData>
    <row r="1" spans="1:16" ht="47.25">
      <c r="A1" s="29" t="s">
        <v>49</v>
      </c>
      <c r="B1" t="s">
        <v>35</v>
      </c>
      <c r="C1" t="s">
        <v>105</v>
      </c>
      <c r="E1" t="s">
        <v>155</v>
      </c>
      <c r="G1" s="22" t="s">
        <v>125</v>
      </c>
      <c r="I1" t="s">
        <v>331</v>
      </c>
      <c r="K1" s="111" t="s">
        <v>253</v>
      </c>
      <c r="M1" s="111" t="s">
        <v>185</v>
      </c>
      <c r="N1" s="22" t="s">
        <v>407</v>
      </c>
      <c r="P1" t="s">
        <v>287</v>
      </c>
    </row>
    <row r="2" spans="1:16">
      <c r="A2" s="29" t="s">
        <v>50</v>
      </c>
      <c r="B2" t="s">
        <v>35</v>
      </c>
      <c r="C2" t="s">
        <v>106</v>
      </c>
      <c r="E2" t="s">
        <v>157</v>
      </c>
      <c r="G2" s="29" t="s">
        <v>109</v>
      </c>
      <c r="I2" t="s">
        <v>26</v>
      </c>
      <c r="K2" s="111" t="s">
        <v>263</v>
      </c>
      <c r="M2" s="111" t="s">
        <v>184</v>
      </c>
      <c r="N2" t="s">
        <v>169</v>
      </c>
      <c r="P2" t="s">
        <v>183</v>
      </c>
    </row>
    <row r="3" spans="1:16" ht="42.75">
      <c r="A3" s="29" t="s">
        <v>55</v>
      </c>
      <c r="B3" t="s">
        <v>35</v>
      </c>
      <c r="C3" t="s">
        <v>107</v>
      </c>
      <c r="E3" t="s">
        <v>158</v>
      </c>
      <c r="G3" s="29" t="s">
        <v>110</v>
      </c>
      <c r="I3" t="s">
        <v>126</v>
      </c>
      <c r="M3" s="111" t="s">
        <v>405</v>
      </c>
      <c r="N3" t="s">
        <v>408</v>
      </c>
    </row>
    <row r="4" spans="1:16">
      <c r="A4" s="29" t="s">
        <v>79</v>
      </c>
      <c r="B4" t="s">
        <v>35</v>
      </c>
      <c r="C4" t="s">
        <v>104</v>
      </c>
      <c r="E4" t="s">
        <v>160</v>
      </c>
      <c r="G4" s="29" t="s">
        <v>111</v>
      </c>
      <c r="M4" s="111" t="s">
        <v>406</v>
      </c>
      <c r="N4" t="s">
        <v>409</v>
      </c>
    </row>
    <row r="5" spans="1:16">
      <c r="A5" s="29" t="s">
        <v>78</v>
      </c>
      <c r="B5" t="s">
        <v>35</v>
      </c>
      <c r="E5" t="s">
        <v>161</v>
      </c>
      <c r="G5" s="29" t="s">
        <v>112</v>
      </c>
      <c r="M5" s="111" t="s">
        <v>275</v>
      </c>
    </row>
    <row r="6" spans="1:16">
      <c r="A6" s="29" t="s">
        <v>54</v>
      </c>
      <c r="B6" t="s">
        <v>35</v>
      </c>
      <c r="E6" t="s">
        <v>163</v>
      </c>
      <c r="M6" s="111"/>
    </row>
    <row r="7" spans="1:16">
      <c r="A7" s="29" t="s">
        <v>77</v>
      </c>
      <c r="B7" t="s">
        <v>35</v>
      </c>
    </row>
    <row r="8" spans="1:16">
      <c r="A8" s="29" t="s">
        <v>76</v>
      </c>
      <c r="B8" t="s">
        <v>35</v>
      </c>
    </row>
    <row r="9" spans="1:16">
      <c r="A9" s="29" t="s">
        <v>75</v>
      </c>
      <c r="B9" t="s">
        <v>35</v>
      </c>
    </row>
    <row r="10" spans="1:16">
      <c r="A10" s="29"/>
    </row>
    <row r="11" spans="1:16">
      <c r="A11" s="29" t="s">
        <v>53</v>
      </c>
      <c r="B11" t="s">
        <v>36</v>
      </c>
      <c r="E11" s="29"/>
    </row>
    <row r="12" spans="1:16">
      <c r="A12" s="29" t="s">
        <v>74</v>
      </c>
      <c r="B12" t="s">
        <v>36</v>
      </c>
    </row>
    <row r="13" spans="1:16">
      <c r="A13" s="29" t="s">
        <v>73</v>
      </c>
      <c r="B13" t="s">
        <v>36</v>
      </c>
    </row>
    <row r="14" spans="1:16">
      <c r="A14" s="29" t="s">
        <v>72</v>
      </c>
      <c r="B14" t="s">
        <v>36</v>
      </c>
    </row>
    <row r="15" spans="1:16">
      <c r="A15" s="29" t="s">
        <v>71</v>
      </c>
      <c r="B15" t="s">
        <v>36</v>
      </c>
    </row>
    <row r="16" spans="1:16">
      <c r="A16" s="29"/>
    </row>
    <row r="17" spans="1:2">
      <c r="A17" s="29" t="s">
        <v>70</v>
      </c>
      <c r="B17" t="s">
        <v>0</v>
      </c>
    </row>
    <row r="18" spans="1:2">
      <c r="A18" s="29" t="s">
        <v>52</v>
      </c>
      <c r="B18" t="s">
        <v>0</v>
      </c>
    </row>
    <row r="19" spans="1:2">
      <c r="A19" s="29" t="s">
        <v>69</v>
      </c>
      <c r="B19" t="s">
        <v>0</v>
      </c>
    </row>
    <row r="20" spans="1:2">
      <c r="A20" s="29" t="s">
        <v>51</v>
      </c>
      <c r="B20" t="s">
        <v>0</v>
      </c>
    </row>
    <row r="21" spans="1:2">
      <c r="A21" s="29" t="s">
        <v>68</v>
      </c>
      <c r="B21" t="s">
        <v>0</v>
      </c>
    </row>
    <row r="22" spans="1:2">
      <c r="A22" s="29"/>
    </row>
    <row r="23" spans="1:2">
      <c r="A23" s="29" t="s">
        <v>67</v>
      </c>
      <c r="B23" t="s">
        <v>1</v>
      </c>
    </row>
    <row r="24" spans="1:2">
      <c r="A24" s="29" t="s">
        <v>66</v>
      </c>
      <c r="B24" t="s">
        <v>1</v>
      </c>
    </row>
    <row r="25" spans="1:2">
      <c r="A25" s="29" t="s">
        <v>65</v>
      </c>
      <c r="B25" t="s">
        <v>1</v>
      </c>
    </row>
    <row r="26" spans="1:2">
      <c r="A26" s="29" t="s">
        <v>64</v>
      </c>
      <c r="B26" t="s">
        <v>1</v>
      </c>
    </row>
    <row r="27" spans="1:2">
      <c r="A27" s="29" t="s">
        <v>63</v>
      </c>
      <c r="B27" t="s">
        <v>1</v>
      </c>
    </row>
    <row r="28" spans="1:2">
      <c r="A28" s="29" t="s">
        <v>62</v>
      </c>
      <c r="B28" t="s">
        <v>1</v>
      </c>
    </row>
    <row r="29" spans="1:2">
      <c r="A29" s="29" t="s">
        <v>61</v>
      </c>
      <c r="B29" t="s">
        <v>1</v>
      </c>
    </row>
    <row r="30" spans="1:2">
      <c r="A30" s="29" t="s">
        <v>60</v>
      </c>
      <c r="B30" t="s">
        <v>1</v>
      </c>
    </row>
    <row r="31" spans="1:2" ht="29.1" customHeight="1">
      <c r="A31" s="29" t="s">
        <v>59</v>
      </c>
      <c r="B31" t="s">
        <v>1</v>
      </c>
    </row>
    <row r="32" spans="1:2">
      <c r="A32" s="29"/>
    </row>
    <row r="33" spans="1:2" ht="28.5">
      <c r="A33" s="29" t="s">
        <v>58</v>
      </c>
      <c r="B33" t="s">
        <v>2</v>
      </c>
    </row>
    <row r="34" spans="1:2">
      <c r="A34" s="29" t="s">
        <v>288</v>
      </c>
      <c r="B34" t="s">
        <v>2</v>
      </c>
    </row>
  </sheetData>
  <pageMargins left="0.7" right="0.7" top="0.78740157499999996" bottom="0.78740157499999996" header="0.3" footer="0.3"/>
  <pageSetup paperSize="9" scale="4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41"/>
  <sheetViews>
    <sheetView topLeftCell="A20" zoomScale="150" zoomScaleNormal="150" workbookViewId="0"/>
  </sheetViews>
  <sheetFormatPr baseColWidth="10" defaultRowHeight="15.75"/>
  <cols>
    <col min="2" max="2" width="11.5" bestFit="1" customWidth="1"/>
    <col min="3" max="3" width="14.375" bestFit="1" customWidth="1"/>
    <col min="4" max="4" width="67.5" customWidth="1"/>
  </cols>
  <sheetData>
    <row r="1" spans="1:4">
      <c r="A1" t="s">
        <v>168</v>
      </c>
    </row>
    <row r="2" spans="1:4">
      <c r="B2" t="s">
        <v>347</v>
      </c>
      <c r="C2" t="s">
        <v>348</v>
      </c>
    </row>
    <row r="3" spans="1:4">
      <c r="A3" s="305" t="s">
        <v>334</v>
      </c>
      <c r="B3" t="s">
        <v>335</v>
      </c>
      <c r="C3" t="s">
        <v>336</v>
      </c>
      <c r="D3" t="s">
        <v>356</v>
      </c>
    </row>
    <row r="4" spans="1:4">
      <c r="A4" s="305" t="s">
        <v>334</v>
      </c>
      <c r="B4" t="s">
        <v>349</v>
      </c>
      <c r="D4" t="s">
        <v>350</v>
      </c>
    </row>
    <row r="5" spans="1:4">
      <c r="A5" s="305" t="s">
        <v>334</v>
      </c>
      <c r="B5" t="s">
        <v>354</v>
      </c>
      <c r="D5" t="s">
        <v>355</v>
      </c>
    </row>
    <row r="6" spans="1:4">
      <c r="A6" s="305" t="s">
        <v>334</v>
      </c>
      <c r="B6" t="s">
        <v>337</v>
      </c>
      <c r="C6" t="s">
        <v>338</v>
      </c>
      <c r="D6" t="s">
        <v>341</v>
      </c>
    </row>
    <row r="7" spans="1:4">
      <c r="A7" s="305" t="s">
        <v>334</v>
      </c>
      <c r="B7" t="s">
        <v>337</v>
      </c>
      <c r="C7" t="s">
        <v>339</v>
      </c>
      <c r="D7" t="s">
        <v>340</v>
      </c>
    </row>
    <row r="8" spans="1:4">
      <c r="A8" s="305" t="s">
        <v>334</v>
      </c>
      <c r="B8" t="s">
        <v>342</v>
      </c>
      <c r="C8" t="s">
        <v>343</v>
      </c>
      <c r="D8" t="s">
        <v>344</v>
      </c>
    </row>
    <row r="9" spans="1:4">
      <c r="A9" s="305" t="s">
        <v>360</v>
      </c>
      <c r="B9" t="s">
        <v>337</v>
      </c>
      <c r="C9" t="s">
        <v>357</v>
      </c>
      <c r="D9" t="s">
        <v>358</v>
      </c>
    </row>
    <row r="10" spans="1:4">
      <c r="A10" s="305" t="s">
        <v>360</v>
      </c>
      <c r="B10" t="s">
        <v>354</v>
      </c>
      <c r="D10" t="s">
        <v>359</v>
      </c>
    </row>
    <row r="11" spans="1:4">
      <c r="A11" s="305" t="s">
        <v>360</v>
      </c>
      <c r="B11" t="s">
        <v>337</v>
      </c>
      <c r="C11" t="s">
        <v>362</v>
      </c>
      <c r="D11" t="s">
        <v>363</v>
      </c>
    </row>
    <row r="12" spans="1:4" ht="47.25">
      <c r="A12" s="305" t="s">
        <v>364</v>
      </c>
      <c r="B12" t="s">
        <v>365</v>
      </c>
      <c r="C12" t="s">
        <v>366</v>
      </c>
      <c r="D12" s="22" t="s">
        <v>367</v>
      </c>
    </row>
    <row r="13" spans="1:4">
      <c r="A13" s="305" t="s">
        <v>364</v>
      </c>
      <c r="B13" t="s">
        <v>365</v>
      </c>
      <c r="C13" t="s">
        <v>369</v>
      </c>
      <c r="D13" t="s">
        <v>368</v>
      </c>
    </row>
    <row r="14" spans="1:4">
      <c r="A14" s="305" t="s">
        <v>364</v>
      </c>
      <c r="B14" t="s">
        <v>372</v>
      </c>
      <c r="C14" t="s">
        <v>370</v>
      </c>
      <c r="D14" t="s">
        <v>371</v>
      </c>
    </row>
    <row r="15" spans="1:4">
      <c r="A15" s="305" t="s">
        <v>364</v>
      </c>
      <c r="B15" t="s">
        <v>372</v>
      </c>
      <c r="C15" t="s">
        <v>386</v>
      </c>
      <c r="D15" t="s">
        <v>373</v>
      </c>
    </row>
    <row r="16" spans="1:4">
      <c r="A16" s="305" t="s">
        <v>364</v>
      </c>
      <c r="B16" t="s">
        <v>335</v>
      </c>
      <c r="C16" t="s">
        <v>375</v>
      </c>
      <c r="D16" t="s">
        <v>378</v>
      </c>
    </row>
    <row r="17" spans="1:4">
      <c r="A17" s="305" t="s">
        <v>364</v>
      </c>
      <c r="B17" t="s">
        <v>335</v>
      </c>
      <c r="C17" t="s">
        <v>376</v>
      </c>
      <c r="D17" t="s">
        <v>379</v>
      </c>
    </row>
    <row r="18" spans="1:4">
      <c r="A18" s="305" t="s">
        <v>364</v>
      </c>
      <c r="B18" t="s">
        <v>335</v>
      </c>
      <c r="C18" t="s">
        <v>377</v>
      </c>
      <c r="D18" t="s">
        <v>380</v>
      </c>
    </row>
    <row r="19" spans="1:4">
      <c r="A19" s="305" t="s">
        <v>364</v>
      </c>
      <c r="B19" t="s">
        <v>337</v>
      </c>
      <c r="C19" t="s">
        <v>383</v>
      </c>
      <c r="D19" t="s">
        <v>381</v>
      </c>
    </row>
    <row r="20" spans="1:4">
      <c r="A20" s="305" t="s">
        <v>364</v>
      </c>
      <c r="B20" t="s">
        <v>337</v>
      </c>
      <c r="C20" t="s">
        <v>382</v>
      </c>
      <c r="D20" t="s">
        <v>385</v>
      </c>
    </row>
    <row r="21" spans="1:4">
      <c r="A21" s="305" t="s">
        <v>364</v>
      </c>
      <c r="B21" t="s">
        <v>337</v>
      </c>
      <c r="C21" t="s">
        <v>384</v>
      </c>
      <c r="D21" t="s">
        <v>380</v>
      </c>
    </row>
    <row r="22" spans="1:4">
      <c r="A22" s="305" t="s">
        <v>387</v>
      </c>
      <c r="B22" t="s">
        <v>335</v>
      </c>
      <c r="C22" t="s">
        <v>388</v>
      </c>
      <c r="D22" t="s">
        <v>389</v>
      </c>
    </row>
    <row r="23" spans="1:4">
      <c r="A23" s="305" t="s">
        <v>387</v>
      </c>
      <c r="B23" t="s">
        <v>335</v>
      </c>
      <c r="C23" t="s">
        <v>390</v>
      </c>
      <c r="D23" t="s">
        <v>389</v>
      </c>
    </row>
    <row r="24" spans="1:4">
      <c r="A24" s="305" t="s">
        <v>387</v>
      </c>
      <c r="B24" t="s">
        <v>337</v>
      </c>
      <c r="C24" t="s">
        <v>343</v>
      </c>
      <c r="D24" t="s">
        <v>391</v>
      </c>
    </row>
    <row r="25" spans="1:4">
      <c r="A25" s="305" t="s">
        <v>392</v>
      </c>
      <c r="B25" t="s">
        <v>372</v>
      </c>
      <c r="C25" t="s">
        <v>393</v>
      </c>
      <c r="D25" t="s">
        <v>394</v>
      </c>
    </row>
    <row r="26" spans="1:4">
      <c r="A26" s="305" t="s">
        <v>395</v>
      </c>
      <c r="B26" t="s">
        <v>337</v>
      </c>
      <c r="C26" t="s">
        <v>343</v>
      </c>
      <c r="D26" t="s">
        <v>396</v>
      </c>
    </row>
    <row r="27" spans="1:4">
      <c r="A27" s="461" t="s">
        <v>464</v>
      </c>
      <c r="B27" t="s">
        <v>465</v>
      </c>
      <c r="D27" t="s">
        <v>466</v>
      </c>
    </row>
    <row r="28" spans="1:4">
      <c r="A28" s="461" t="s">
        <v>464</v>
      </c>
      <c r="B28" t="s">
        <v>335</v>
      </c>
      <c r="C28" t="s">
        <v>467</v>
      </c>
      <c r="D28" t="s">
        <v>466</v>
      </c>
    </row>
    <row r="29" spans="1:4">
      <c r="A29" s="461" t="s">
        <v>464</v>
      </c>
      <c r="B29" t="s">
        <v>335</v>
      </c>
      <c r="C29" t="s">
        <v>476</v>
      </c>
      <c r="D29" t="s">
        <v>477</v>
      </c>
    </row>
    <row r="30" spans="1:4">
      <c r="A30" s="461" t="s">
        <v>464</v>
      </c>
      <c r="B30" t="s">
        <v>469</v>
      </c>
      <c r="D30" t="s">
        <v>468</v>
      </c>
    </row>
    <row r="31" spans="1:4">
      <c r="A31" s="461" t="s">
        <v>464</v>
      </c>
      <c r="B31" t="s">
        <v>470</v>
      </c>
      <c r="C31" t="s">
        <v>471</v>
      </c>
      <c r="D31" t="s">
        <v>472</v>
      </c>
    </row>
    <row r="32" spans="1:4">
      <c r="A32" s="461" t="s">
        <v>464</v>
      </c>
      <c r="B32" t="s">
        <v>470</v>
      </c>
      <c r="C32" t="s">
        <v>474</v>
      </c>
      <c r="D32" t="s">
        <v>475</v>
      </c>
    </row>
    <row r="33" spans="1:4">
      <c r="A33" s="461" t="s">
        <v>464</v>
      </c>
      <c r="B33" t="s">
        <v>337</v>
      </c>
      <c r="C33" t="s">
        <v>478</v>
      </c>
      <c r="D33" t="s">
        <v>479</v>
      </c>
    </row>
    <row r="34" spans="1:4">
      <c r="A34" s="461" t="s">
        <v>464</v>
      </c>
      <c r="B34" t="s">
        <v>337</v>
      </c>
      <c r="C34" t="s">
        <v>480</v>
      </c>
      <c r="D34" t="s">
        <v>481</v>
      </c>
    </row>
    <row r="35" spans="1:4">
      <c r="A35" s="461" t="s">
        <v>464</v>
      </c>
      <c r="B35" t="s">
        <v>337</v>
      </c>
      <c r="C35" t="s">
        <v>482</v>
      </c>
      <c r="D35" t="s">
        <v>483</v>
      </c>
    </row>
    <row r="36" spans="1:4">
      <c r="A36" s="461" t="s">
        <v>464</v>
      </c>
      <c r="B36" t="s">
        <v>484</v>
      </c>
      <c r="C36" t="s">
        <v>485</v>
      </c>
      <c r="D36" t="s">
        <v>486</v>
      </c>
    </row>
    <row r="37" spans="1:4">
      <c r="A37" s="461" t="s">
        <v>464</v>
      </c>
      <c r="B37" t="s">
        <v>487</v>
      </c>
      <c r="D37" t="s">
        <v>488</v>
      </c>
    </row>
    <row r="38" spans="1:4">
      <c r="A38" s="461" t="s">
        <v>464</v>
      </c>
      <c r="B38" t="s">
        <v>489</v>
      </c>
      <c r="D38" t="s">
        <v>490</v>
      </c>
    </row>
    <row r="39" spans="1:4">
      <c r="A39" s="461"/>
    </row>
    <row r="40" spans="1:4">
      <c r="A40" s="461"/>
    </row>
    <row r="41" spans="1:4">
      <c r="A41" s="461"/>
    </row>
  </sheetData>
  <phoneticPr fontId="2"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34</vt:i4>
      </vt:variant>
    </vt:vector>
  </HeadingPairs>
  <TitlesOfParts>
    <vt:vector size="50" baseType="lpstr">
      <vt:lpstr>Erläuterung</vt:lpstr>
      <vt:lpstr>1. Übersicht</vt:lpstr>
      <vt:lpstr>2. Betreuungspersonal</vt:lpstr>
      <vt:lpstr>2a. V1 LTG_VW</vt:lpstr>
      <vt:lpstr>2b. V2 SK u. IK</vt:lpstr>
      <vt:lpstr>3a. Vorhalt Tag</vt:lpstr>
      <vt:lpstr>3b. Vorhalt NachtWach</vt:lpstr>
      <vt:lpstr>3c. Vorhalt NachtBereit</vt:lpstr>
      <vt:lpstr>3d. Vorhalt Sonder Ruf-Bereit</vt:lpstr>
      <vt:lpstr>4. TG-TS-TF</vt:lpstr>
      <vt:lpstr>5. Gesamt</vt:lpstr>
      <vt:lpstr>5a. Kostenblatt</vt:lpstr>
      <vt:lpstr>Anlage 19 - Wegezeiten</vt:lpstr>
      <vt:lpstr>Personalübersicht</vt:lpstr>
      <vt:lpstr>Listen</vt:lpstr>
      <vt:lpstr>Versionsverlauf</vt:lpstr>
      <vt:lpstr>Auslastung</vt:lpstr>
      <vt:lpstr>Basiskosten_iL</vt:lpstr>
      <vt:lpstr>bisherige_Abrechnung</vt:lpstr>
      <vt:lpstr>'2. Betreuungspersonal'!Druckbereich</vt:lpstr>
      <vt:lpstr>'2a. V1 LTG_VW'!Druckbereich</vt:lpstr>
      <vt:lpstr>'2b. V2 SK u. IK'!Druckbereich</vt:lpstr>
      <vt:lpstr>'5. Gesamt'!Druckbereich</vt:lpstr>
      <vt:lpstr>'5a. Kostenblatt'!Druckbereich</vt:lpstr>
      <vt:lpstr>Fachleistungsstundensatz</vt:lpstr>
      <vt:lpstr>FLS_kA</vt:lpstr>
      <vt:lpstr>FLS_qA</vt:lpstr>
      <vt:lpstr>h_netto_1VKpa</vt:lpstr>
      <vt:lpstr>h_pa_kA</vt:lpstr>
      <vt:lpstr>h_pa_qA</vt:lpstr>
      <vt:lpstr>Klienten</vt:lpstr>
      <vt:lpstr>Kosten_LV_iL</vt:lpstr>
      <vt:lpstr>Kosten_SKIK_iL</vt:lpstr>
      <vt:lpstr>Modul</vt:lpstr>
      <vt:lpstr>Modul_SB</vt:lpstr>
      <vt:lpstr>Modul_SR</vt:lpstr>
      <vt:lpstr>Modul_TS</vt:lpstr>
      <vt:lpstr>Modul_Wohnen</vt:lpstr>
      <vt:lpstr>PK_kA</vt:lpstr>
      <vt:lpstr>PK_qA</vt:lpstr>
      <vt:lpstr>Sozialraum</vt:lpstr>
      <vt:lpstr>spez_Bedarfslagen</vt:lpstr>
      <vt:lpstr>Tage_nach_Auslastung</vt:lpstr>
      <vt:lpstr>Tage_p.a.</vt:lpstr>
      <vt:lpstr>'3d. Vorhalt Sonder Ruf-Bereit'!Tage_pa</vt:lpstr>
      <vt:lpstr>Tage_pa</vt:lpstr>
      <vt:lpstr>Tagessatz</vt:lpstr>
      <vt:lpstr>TS</vt:lpstr>
      <vt:lpstr>Wochenstunden</vt:lpstr>
      <vt:lpstr>Wohnen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dc:creator>
  <cp:lastModifiedBy>Stöck, Martina (LSJV Mainz)</cp:lastModifiedBy>
  <cp:lastPrinted>2023-10-05T11:55:06Z</cp:lastPrinted>
  <dcterms:created xsi:type="dcterms:W3CDTF">2023-02-17T13:51:23Z</dcterms:created>
  <dcterms:modified xsi:type="dcterms:W3CDTF">2026-09-21T13:11:01Z</dcterms:modified>
</cp:coreProperties>
</file>